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5195" windowHeight="11460" tabRatio="809" activeTab="1"/>
  </bookViews>
  <sheets>
    <sheet name="выходные услуги" sheetId="1" r:id="rId1"/>
    <sheet name="прейскурант" sheetId="2" r:id="rId2"/>
  </sheets>
  <definedNames/>
  <calcPr fullCalcOnLoad="1"/>
</workbook>
</file>

<file path=xl/sharedStrings.xml><?xml version="1.0" encoding="utf-8"?>
<sst xmlns="http://schemas.openxmlformats.org/spreadsheetml/2006/main" count="840" uniqueCount="754">
  <si>
    <t>Эндокринолог      консультативное</t>
  </si>
  <si>
    <t>Невропатолог         консультативное</t>
  </si>
  <si>
    <t>Отоларинголог       консультативное</t>
  </si>
  <si>
    <t>Дерматолог     консультативное</t>
  </si>
  <si>
    <t>Хирург   консультативное</t>
  </si>
  <si>
    <t>врач ортопед консультативный приём</t>
  </si>
  <si>
    <t>Экспресс  диагностика сифилиса с применением тесткассеты</t>
  </si>
  <si>
    <t>Экспресс  диагностика хеликобактериоза с применением тестполоски</t>
  </si>
  <si>
    <t>Экспресс  тесты для определения скрытой фекальной крови с применением тестполоски</t>
  </si>
  <si>
    <t>Экспресс  тесты для определения скрытой фекальной крови с применением тесткассеты</t>
  </si>
  <si>
    <t>Экспресс  диагностика сифилиса с применением тестполоски</t>
  </si>
  <si>
    <t>лечебно-диагностическая</t>
  </si>
  <si>
    <t>серологическое обследование на брюшной тиф</t>
  </si>
  <si>
    <t>Определение глюкозы  крови на  аппарате  Глюкотрен</t>
  </si>
  <si>
    <t>Экспресс  диагностика хеликобактериоза с применением тест кассеты</t>
  </si>
  <si>
    <t>Определение  Д-димерраннего маркера  тромбоза с применением тесткассеты</t>
  </si>
  <si>
    <t>Консультация  психиатр</t>
  </si>
  <si>
    <t>Консультация  психиатр - нарколог</t>
  </si>
  <si>
    <t>Медосмотр психиатр</t>
  </si>
  <si>
    <t xml:space="preserve">Посещение в поликлинике  консультативное     </t>
  </si>
  <si>
    <t xml:space="preserve">Посещение консультативное (дети)     </t>
  </si>
  <si>
    <t>Посещение на дому</t>
  </si>
  <si>
    <t>Пункция ППН</t>
  </si>
  <si>
    <t>Вскрытие атеромы, репозиция костей носа</t>
  </si>
  <si>
    <t>Промывание носа методом перемещения</t>
  </si>
  <si>
    <t>Эндоназальные, париматильные блокады</t>
  </si>
  <si>
    <t>Продувание уха</t>
  </si>
  <si>
    <t>Смазывание горла</t>
  </si>
  <si>
    <t>Эндоларинозальное вливание</t>
  </si>
  <si>
    <t>Катетеризация слуховой трубы</t>
  </si>
  <si>
    <t>Санация миндалин (простая)</t>
  </si>
  <si>
    <t>Санация на аппарате "Тонзилор"</t>
  </si>
  <si>
    <t>Вибромассаж</t>
  </si>
  <si>
    <t>Полипотомия единичных полипов носа и уха</t>
  </si>
  <si>
    <t>Удаление ушных привесок</t>
  </si>
  <si>
    <t>Аденотомия</t>
  </si>
  <si>
    <t>Тонзилотомия</t>
  </si>
  <si>
    <t>Промывание серных пробок</t>
  </si>
  <si>
    <t>Продувание по Политцеру</t>
  </si>
  <si>
    <t>Прижигание грануляций</t>
  </si>
  <si>
    <t>Транстимпональное введение лекарств</t>
  </si>
  <si>
    <t>Блокады заушные</t>
  </si>
  <si>
    <t>Блокады внутриносовые</t>
  </si>
  <si>
    <t>Внутригортанное вливание лекарственных средств</t>
  </si>
  <si>
    <t>Удаление доброкачественных образований носа и уха</t>
  </si>
  <si>
    <t>Вестибулометрия</t>
  </si>
  <si>
    <t>Аудиометрия</t>
  </si>
  <si>
    <t>Хирургия:</t>
  </si>
  <si>
    <t>Посещение в поликлинике</t>
  </si>
  <si>
    <t>Консультация</t>
  </si>
  <si>
    <t>Все виды блокад</t>
  </si>
  <si>
    <t>Пункция суставов, введение лекарственных препаратов</t>
  </si>
  <si>
    <t>Перевязки чистые послеоперационные, компрессы</t>
  </si>
  <si>
    <t>Перевязки гран. ран до 0,5%,</t>
  </si>
  <si>
    <t>Чистые гран. раны более 0,5%</t>
  </si>
  <si>
    <t>Операции при панариции, вросшем ногте</t>
  </si>
  <si>
    <t>Удаление доброкачественных опухолей (липом, атером, гигром, гематом)</t>
  </si>
  <si>
    <t>Пункция при асците</t>
  </si>
  <si>
    <t>Первичная обработка ран и наложение швов</t>
  </si>
  <si>
    <t>Ультразвуковое стимулирование почки на аппарате "Цитротоп"</t>
  </si>
  <si>
    <t>Перевязки разные (плечо, предплечеье, голова и т.д.)</t>
  </si>
  <si>
    <t>Флебэктомия при варикозной болезни</t>
  </si>
  <si>
    <t>Грыжесечение при паховой грыже</t>
  </si>
  <si>
    <t>Операция при варикоцелле</t>
  </si>
  <si>
    <t>Операции при водянке яичка</t>
  </si>
  <si>
    <t>Операции при вальгусной деформации 1 пальца стопы</t>
  </si>
  <si>
    <t>Операции при контрактуре Дюпюитрена</t>
  </si>
  <si>
    <t>Шов сухожилия разгибателей пальцев</t>
  </si>
  <si>
    <t>Остеосинтез костей стопы при переломах</t>
  </si>
  <si>
    <t>Остеосинтез костей кисти при переломах</t>
  </si>
  <si>
    <t>Операции при фимозе</t>
  </si>
  <si>
    <t>Аутодермопластика при гранулирующих ранах</t>
  </si>
  <si>
    <t>Гинекология:</t>
  </si>
  <si>
    <t>Профилактический осмотр</t>
  </si>
  <si>
    <t>Консультативный прием</t>
  </si>
  <si>
    <t>Мини аборт</t>
  </si>
  <si>
    <t>Диагностическое выскабливание</t>
  </si>
  <si>
    <t>Диатермоэлектрокоагуляция (ДЭК)</t>
  </si>
  <si>
    <t>Полипэктомия</t>
  </si>
  <si>
    <t>Диатермопунктура</t>
  </si>
  <si>
    <t>Введение ВМС</t>
  </si>
  <si>
    <t>Удаление ВМС</t>
  </si>
  <si>
    <t>Дилактация шейки матки</t>
  </si>
  <si>
    <t>Биопсия</t>
  </si>
  <si>
    <t>Аспирация из полости матки</t>
  </si>
  <si>
    <t>Кольпоскопия расширенная</t>
  </si>
  <si>
    <t>Кольпоскопия простая</t>
  </si>
  <si>
    <t>Диатермоэксцизия</t>
  </si>
  <si>
    <t>Лечение на аппарате "Гинетон"</t>
  </si>
  <si>
    <t>Санация влагалища</t>
  </si>
  <si>
    <t>Гинекологический массаж</t>
  </si>
  <si>
    <t>Влагалищный тампон</t>
  </si>
  <si>
    <t>Введение норпланта</t>
  </si>
  <si>
    <t>Введение колец</t>
  </si>
  <si>
    <t>Удаление кандилом</t>
  </si>
  <si>
    <t>Наблюдение беременных (первичное)</t>
  </si>
  <si>
    <t>Наблюдение беременных (повторное обследование на период беременности)</t>
  </si>
  <si>
    <t>Непрямое барбатирование (озонотерапия)</t>
  </si>
  <si>
    <t>Малая аутоогемотерапия</t>
  </si>
  <si>
    <t>Взятие биопсии</t>
  </si>
  <si>
    <t>Гистероскопия дигностическая</t>
  </si>
  <si>
    <t>Медикаментозный аборт (без учета медикаментов)</t>
  </si>
  <si>
    <t>Марсупиализация барталиновых желез</t>
  </si>
  <si>
    <t>Травматология:</t>
  </si>
  <si>
    <t>Консультация врача</t>
  </si>
  <si>
    <t>Перевязки послеоперационные</t>
  </si>
  <si>
    <t>Перевязки гранулирующих ран</t>
  </si>
  <si>
    <t>Снятие швов, дренирование</t>
  </si>
  <si>
    <t>Наложение гипсовых повязок ( повторно):</t>
  </si>
  <si>
    <t>Фаланги пальцев</t>
  </si>
  <si>
    <t>Кисти</t>
  </si>
  <si>
    <t>Предплечье</t>
  </si>
  <si>
    <t>Плечо</t>
  </si>
  <si>
    <t>Стопу</t>
  </si>
  <si>
    <t>Голень</t>
  </si>
  <si>
    <t>Наложение циркулярных гипсовых повязок (повторно):</t>
  </si>
  <si>
    <t>Голень, стопу</t>
  </si>
  <si>
    <t>Наложение гипсовых туторов (повторно)</t>
  </si>
  <si>
    <t>Наложение мягких повязок:</t>
  </si>
  <si>
    <t>Наложение гипсовых повязок:</t>
  </si>
  <si>
    <t>Снятие гипсовых шин:</t>
  </si>
  <si>
    <t>Кисть, предплечье</t>
  </si>
  <si>
    <t>Голень, стопа</t>
  </si>
  <si>
    <t>Снятие торакобрахиальных повязок</t>
  </si>
  <si>
    <t>Рентгенология:</t>
  </si>
  <si>
    <t>Рентгенологические исследования органов грудной клетки:</t>
  </si>
  <si>
    <t>Рентгенография и рентгеноскопия сердца с контрастированием пищевода</t>
  </si>
  <si>
    <t>Рентгенография сердца, диафрагмы</t>
  </si>
  <si>
    <t>Рентгенологические исследования органов брюшной полости (органов пищеварения):</t>
  </si>
  <si>
    <t>Рентгеноскопия (обзорная) брюшной полости</t>
  </si>
  <si>
    <t>Рентгенография (обзорная ) брюшной полости</t>
  </si>
  <si>
    <t>Самостоятельная рентгенография, рентгеноскопия пищевода</t>
  </si>
  <si>
    <t>Первичное двойное контрастирование желудка</t>
  </si>
  <si>
    <t>Рентгенография периферических отделов скелета и позвоночника</t>
  </si>
  <si>
    <t>Шейного</t>
  </si>
  <si>
    <t>Грудного</t>
  </si>
  <si>
    <t>Поясничного</t>
  </si>
  <si>
    <t>Грудной отдел позвоночника с компрессией поясничного отдела во время дыхания</t>
  </si>
  <si>
    <t>Флюорография:</t>
  </si>
  <si>
    <t>В одной проекции</t>
  </si>
  <si>
    <t>В двух проекциях</t>
  </si>
  <si>
    <t>В трех проекциях</t>
  </si>
  <si>
    <t>Рентгенологические исследования в урологии:</t>
  </si>
  <si>
    <t>Урография внутривенная</t>
  </si>
  <si>
    <t>Рентгенологические исследования молочной железы:</t>
  </si>
  <si>
    <t>Прочие рентгенологические исследования:</t>
  </si>
  <si>
    <t>Томография, 1 срез</t>
  </si>
  <si>
    <t>Заочная консультация по рентгенографии</t>
  </si>
  <si>
    <t>Узкие специалисты:</t>
  </si>
  <si>
    <t>Терапевт:</t>
  </si>
  <si>
    <t>Медосмотр</t>
  </si>
  <si>
    <t>Невропатолог, нефролог:</t>
  </si>
  <si>
    <t>Холодовая проба</t>
  </si>
  <si>
    <t>Определение виброчувствительности камертоном</t>
  </si>
  <si>
    <t>Дерматовенеролог:</t>
  </si>
  <si>
    <t>Эндокринолог:</t>
  </si>
  <si>
    <t>Определение сахара в крови на аппарате "Глюкотрен"</t>
  </si>
  <si>
    <t>Визуальное определение, тест полоска" Глюкохром"</t>
  </si>
  <si>
    <t>Тест на микроальбуминорию</t>
  </si>
  <si>
    <t>Кардиолог, ревматолог:</t>
  </si>
  <si>
    <t>Гастроэнтеролог:</t>
  </si>
  <si>
    <t>Колопроктолог:</t>
  </si>
  <si>
    <t>Онкология</t>
  </si>
  <si>
    <t>Посещение (первичное)</t>
  </si>
  <si>
    <t>Посещение (повторное)</t>
  </si>
  <si>
    <t>Аллергология:</t>
  </si>
  <si>
    <t>Консультация врача аллерголога</t>
  </si>
  <si>
    <t>Проведение аллергических кожных проб:</t>
  </si>
  <si>
    <t>Скарификационные:</t>
  </si>
  <si>
    <t>с бытовыми аллергенами</t>
  </si>
  <si>
    <t>с эпидермальными</t>
  </si>
  <si>
    <t>с пыльцевыми</t>
  </si>
  <si>
    <t>Внутрикожные пробы:</t>
  </si>
  <si>
    <t>Аппликационные пробы:</t>
  </si>
  <si>
    <t>с металлом и другими веществами</t>
  </si>
  <si>
    <t>Поддерживающая доза :</t>
  </si>
  <si>
    <t>Холодовые пробы:</t>
  </si>
  <si>
    <t>Нозальный тест</t>
  </si>
  <si>
    <t>Коньюктивальный тест</t>
  </si>
  <si>
    <t>Аллергены на единицу пробы:</t>
  </si>
  <si>
    <t>СКП</t>
  </si>
  <si>
    <t>ВКП</t>
  </si>
  <si>
    <t>СИТ на единицу инъекции</t>
  </si>
  <si>
    <t>Прочие специалисты:</t>
  </si>
  <si>
    <t>Нарколог</t>
  </si>
  <si>
    <t>Гематолог</t>
  </si>
  <si>
    <t>Прием подросткового терапевта</t>
  </si>
  <si>
    <t>Реабилитолог</t>
  </si>
  <si>
    <t>медосмотр</t>
  </si>
  <si>
    <t>консультация</t>
  </si>
  <si>
    <t>Специализированная детская служба (посещение в поликлинике):</t>
  </si>
  <si>
    <t>Кардиоревматолог консультативное</t>
  </si>
  <si>
    <t>Офтальмолог    консультация</t>
  </si>
  <si>
    <t>Услуги инфекционного кабинета (без стоимости вакцины:)</t>
  </si>
  <si>
    <t>Вакцинация против инфекционных заболеваний</t>
  </si>
  <si>
    <t>Аллергическая проба Бюрне</t>
  </si>
  <si>
    <t>Мазок на дифтерию</t>
  </si>
  <si>
    <t>Мазок на кишечную группу</t>
  </si>
  <si>
    <t>Мазок на носительство стафилококка</t>
  </si>
  <si>
    <t>Мазок на м/флору на чувствительность к антибиотикам</t>
  </si>
  <si>
    <t>Мазок по реакции Райта и Хеддельсона</t>
  </si>
  <si>
    <t>Мазок на РПГА</t>
  </si>
  <si>
    <t>Стерилизация (без учета НДС):</t>
  </si>
  <si>
    <t>Стерилизация инструментов (одна закладка)</t>
  </si>
  <si>
    <t>Стерилизация перчаток, тубусов, груш и т.д. (одна закладка)</t>
  </si>
  <si>
    <t>Услуги процедурного кабинета:</t>
  </si>
  <si>
    <t xml:space="preserve">Внутривенные вливания                                            </t>
  </si>
  <si>
    <t xml:space="preserve">Внутримышечные инъекции и подкожные инъекции   </t>
  </si>
  <si>
    <t>Внутримышечный масляный раствор</t>
  </si>
  <si>
    <t xml:space="preserve">Капельное вливание                                                     </t>
  </si>
  <si>
    <t xml:space="preserve">Взятие крови из вены на анализ                                                             </t>
  </si>
  <si>
    <t>Капельное вливание на дому</t>
  </si>
  <si>
    <t>Анализ мочи на ацетон</t>
  </si>
  <si>
    <t>Глазные операции:</t>
  </si>
  <si>
    <t>Промывание слезных путей</t>
  </si>
  <si>
    <t>Операции на слезных точках</t>
  </si>
  <si>
    <t>Операции на веках (заворот, выворот, трихлаз)</t>
  </si>
  <si>
    <t>Операции на глазном яблоке</t>
  </si>
  <si>
    <t>Урологические услуги:</t>
  </si>
  <si>
    <t>Массаж простаты</t>
  </si>
  <si>
    <t>Бужирование уретры</t>
  </si>
  <si>
    <t>Ультразвуковое лечение воспалительных заболеваний мужских половых органов аппаратом "Интратон"</t>
  </si>
  <si>
    <t>Лечение воспалительных заболеваний мужских половых органов аппаратом "Милта"</t>
  </si>
  <si>
    <t>Кабинет анонимного обследования и лечения:</t>
  </si>
  <si>
    <t>Лечение трихомониаза (осложненный)</t>
  </si>
  <si>
    <t>Баланопостит, фимоз</t>
  </si>
  <si>
    <t>Неспецифический эндоцервит (жен.)</t>
  </si>
  <si>
    <t>Кандидозный ваганит, кольпит (жен.)</t>
  </si>
  <si>
    <t>Гарднереллез, микоплазмос, уреаплазмоз</t>
  </si>
  <si>
    <t>Остроконечные кондиломы неосложненные</t>
  </si>
  <si>
    <t>Почки,мочевой пузырь</t>
  </si>
  <si>
    <t>Печень,желчный пузырь,селезенка</t>
  </si>
  <si>
    <t>Консультативный прием узких специалистов</t>
  </si>
  <si>
    <t>Офтальмолог</t>
  </si>
  <si>
    <t>Эндокринолог</t>
  </si>
  <si>
    <t>Отоларинголог</t>
  </si>
  <si>
    <t>Хирург</t>
  </si>
  <si>
    <t>Аллерголог</t>
  </si>
  <si>
    <t>Гастроэнтеролог</t>
  </si>
  <si>
    <t>Биопсия индометрии</t>
  </si>
  <si>
    <t>Эхокардиография с допплеровским анализом</t>
  </si>
  <si>
    <t>Печень и желчный пузырь</t>
  </si>
  <si>
    <t>Желчный пузырь с определением функции</t>
  </si>
  <si>
    <t>Поджелудочная железа</t>
  </si>
  <si>
    <t>Почки и надпочечники</t>
  </si>
  <si>
    <t>Селезенка</t>
  </si>
  <si>
    <t>Мочевой пузырь с определением остаточной мочи</t>
  </si>
  <si>
    <t>Исследования при беременности</t>
  </si>
  <si>
    <t>Молочная железа</t>
  </si>
  <si>
    <t>Щитовидная железа</t>
  </si>
  <si>
    <t>Комплексное исследование:</t>
  </si>
  <si>
    <t>Простата, мочевой пузырь</t>
  </si>
  <si>
    <t>Ультрозвуковая гистеросальпингография (эхогидротубация)</t>
  </si>
  <si>
    <t>Почки,мочевой пузырь и надпочечники</t>
  </si>
  <si>
    <t>Гинекологическое обследование</t>
  </si>
  <si>
    <t>ЭКГ с модификацией</t>
  </si>
  <si>
    <t>ЭКГ м/о на предприятии</t>
  </si>
  <si>
    <t>ЭКГ на дому</t>
  </si>
  <si>
    <t>ВЭМ (без периодов отдыха)</t>
  </si>
  <si>
    <t>Реоэнцефалография 1</t>
  </si>
  <si>
    <t>ФКГ для детей младше 7 лет</t>
  </si>
  <si>
    <t>ФКГ для детей старше 7 лет</t>
  </si>
  <si>
    <t>ЭКГ для детей младше 7 лет</t>
  </si>
  <si>
    <t>ЭКГ для детей старше 7 лет</t>
  </si>
  <si>
    <t>Первичное обследование + ИФА</t>
  </si>
  <si>
    <t>Лечение острой гонореи</t>
  </si>
  <si>
    <t>Лечение хронической гонореи</t>
  </si>
  <si>
    <t>Хламидиоз</t>
  </si>
  <si>
    <t>Комбинированная провокация</t>
  </si>
  <si>
    <t>Превентивное лечение</t>
  </si>
  <si>
    <t>Консультация врача на дому</t>
  </si>
  <si>
    <t>Репозиция</t>
  </si>
  <si>
    <t>Пункция суставов</t>
  </si>
  <si>
    <t>Дезо</t>
  </si>
  <si>
    <t>Воротник Шанца</t>
  </si>
  <si>
    <t>Снятие повязок с голени, стопы</t>
  </si>
  <si>
    <t>Подгипсовка гипсовых повязок</t>
  </si>
  <si>
    <t>Рассечение гипсовых повязок</t>
  </si>
  <si>
    <t>Рентгеноскопия органов грудной клетки</t>
  </si>
  <si>
    <t>Рентгенография грудной клетки</t>
  </si>
  <si>
    <t>Ретгенография гортани</t>
  </si>
  <si>
    <t>Холецистография пероральная</t>
  </si>
  <si>
    <t>Ирригоскопия</t>
  </si>
  <si>
    <t>Рентгенография черепа в двух проекциях</t>
  </si>
  <si>
    <t>шейного</t>
  </si>
  <si>
    <t>поясничного</t>
  </si>
  <si>
    <t>Урография ортостатическая</t>
  </si>
  <si>
    <t>Гистеросальпингография</t>
  </si>
  <si>
    <t>Фистулография</t>
  </si>
  <si>
    <t>Рентгенография мягких тканей подмышечных областей</t>
  </si>
  <si>
    <t>Удаление халазиона</t>
  </si>
  <si>
    <t>УЗИ внутренних органов плода (скрининг)</t>
  </si>
  <si>
    <t>Наименование услуг</t>
  </si>
  <si>
    <t>Ультразвуковые исследования:</t>
  </si>
  <si>
    <t>Женские половые органы при гинекологических заболеваниях</t>
  </si>
  <si>
    <t>Лимфатические узлы</t>
  </si>
  <si>
    <t>Перефирические сосуды</t>
  </si>
  <si>
    <t>Мягкие ткани</t>
  </si>
  <si>
    <t>Средостение</t>
  </si>
  <si>
    <t>Плевральная полость</t>
  </si>
  <si>
    <t>Предстательная железа, яички</t>
  </si>
  <si>
    <t>Допплерометрия сосудов со спектральным анализом в постоянноволновом режиме</t>
  </si>
  <si>
    <t>Почки, мочевой пузырь</t>
  </si>
  <si>
    <t>УЗИ при беременности с доплеровским исследованием, с записью на диск, без учета материалов</t>
  </si>
  <si>
    <t>УЗИ детей:</t>
  </si>
  <si>
    <t>Печень, желчный пузырь, селезенка</t>
  </si>
  <si>
    <t>Почки, мочевой пузырь и надпочечники</t>
  </si>
  <si>
    <t>Отделение восстановительного лечения:</t>
  </si>
  <si>
    <t>Прием врача физиотерапевта</t>
  </si>
  <si>
    <t>Физиотерапевтические процедуры (1 сеанс) :</t>
  </si>
  <si>
    <t>Гальванизация</t>
  </si>
  <si>
    <t>Электрофорез</t>
  </si>
  <si>
    <t>Электрофорез полостной (ухо, нос)</t>
  </si>
  <si>
    <t>Парафиновые аппликации</t>
  </si>
  <si>
    <t>Электростимуляция мышц</t>
  </si>
  <si>
    <t>Дарсонвализация</t>
  </si>
  <si>
    <t>Динамометрия</t>
  </si>
  <si>
    <t>Криотерапия</t>
  </si>
  <si>
    <t>Массаж головы</t>
  </si>
  <si>
    <t>Массаж лица</t>
  </si>
  <si>
    <t>Массаж шеи</t>
  </si>
  <si>
    <t>Массаж плечевого сустава</t>
  </si>
  <si>
    <t>Массаж локтевого сустава</t>
  </si>
  <si>
    <t>Массаж лучезапястного сустава</t>
  </si>
  <si>
    <t>Массаж кисти и предплечья</t>
  </si>
  <si>
    <t>Массаж мышц передней брюшной стенки</t>
  </si>
  <si>
    <t>Массаж коленного сустава</t>
  </si>
  <si>
    <t>Массаж голеностопного сустава</t>
  </si>
  <si>
    <t>Массаж стопы и голени</t>
  </si>
  <si>
    <t>Массаж воротниковой зоны</t>
  </si>
  <si>
    <t>Массаж верхней конечности</t>
  </si>
  <si>
    <t>Массаж спины</t>
  </si>
  <si>
    <t>Массаж  нижней конечности</t>
  </si>
  <si>
    <t>Надплечья и области лопатки</t>
  </si>
  <si>
    <t xml:space="preserve">Массаж нижней конечности и поясницы                               </t>
  </si>
  <si>
    <t xml:space="preserve">Массаж области грудной клетки (области передней поверхности грудной клетки, от передних надплечий, до реберных дуг и области спины, от 7 ш.п. до 1 поясничного позвонка)                   </t>
  </si>
  <si>
    <t>Общий массаж (дети грудного и младшего дошкольного возраста)</t>
  </si>
  <si>
    <t>Клинические лабораторные исследования</t>
  </si>
  <si>
    <t>Исследование мочи:</t>
  </si>
  <si>
    <t>Определение количества, цвета, прозрачности, наличие осадка, относительной плотности, реакции (РH)</t>
  </si>
  <si>
    <t>Проба Зимницкого</t>
  </si>
  <si>
    <t>Проба Нечипоренко</t>
  </si>
  <si>
    <t>Обнаружение уробелиновых тел экспресс тестом</t>
  </si>
  <si>
    <t>Обнаружение глюкозы экспресс тестом</t>
  </si>
  <si>
    <t>Обнаружение глюкозы методом Гайнеса</t>
  </si>
  <si>
    <t>Определение глюкозы ортотолуидиновым методом</t>
  </si>
  <si>
    <t>Обнаружение кетоновых тел экспресс тестом</t>
  </si>
  <si>
    <t>Обнаружение билирубина, реакция Фуше</t>
  </si>
  <si>
    <t>Определение микроальбуминов</t>
  </si>
  <si>
    <t>Определение суточной экскреции оксалатов в моче</t>
  </si>
  <si>
    <t>Определение антикристализующей функции почек</t>
  </si>
  <si>
    <t>Микроскопическое исследование осадка</t>
  </si>
  <si>
    <t>Исследование мокроты:</t>
  </si>
  <si>
    <t>Определение количества, цвета, характера, консистенции запаха</t>
  </si>
  <si>
    <t>Микроскопическое исследование в окрашенном препарате</t>
  </si>
  <si>
    <t>Исследование кала:</t>
  </si>
  <si>
    <t>Определение цвета, формы, запаха, примесей, слизи, РН</t>
  </si>
  <si>
    <t>Обнаружение крови бензидиновой пробой</t>
  </si>
  <si>
    <t>Микроскопическое исследование 3 препаратов на пищевые остатки, слизь, эритроциты, лейкоциты, эпителий и д.р.</t>
  </si>
  <si>
    <t>Обнаружение простейших</t>
  </si>
  <si>
    <t>Исследование соскоба на энтеробиоз</t>
  </si>
  <si>
    <t>2 локализации</t>
  </si>
  <si>
    <t>3 локализации</t>
  </si>
  <si>
    <t>Сок простаты (окрашенный препарат)</t>
  </si>
  <si>
    <t>Гематологические исследования:</t>
  </si>
  <si>
    <t>Взятие крови из пальца для гематологических исследований ( 5 показателей)</t>
  </si>
  <si>
    <t>Определение гемоглобина (гемиглобинцианидным методом)</t>
  </si>
  <si>
    <t>Подсчет эритроцитов ( в счетной камере)</t>
  </si>
  <si>
    <t>Подсчет лейкоцитов (полуавтомат)</t>
  </si>
  <si>
    <t>Подсчет лейкоцитарной формулы</t>
  </si>
  <si>
    <t>Определение скорости оседания эритроцитов</t>
  </si>
  <si>
    <t xml:space="preserve">Подсчет тромбоцитов по Фонио                                                                  </t>
  </si>
  <si>
    <t>Подсчет ретикулоцитов</t>
  </si>
  <si>
    <t>Определение гематокритной величины</t>
  </si>
  <si>
    <t>Биохимические исследования:</t>
  </si>
  <si>
    <t>Забор крови</t>
  </si>
  <si>
    <t>Обработка венозной крови</t>
  </si>
  <si>
    <t>Определение общего белка сыворотки крови (биуретовой реакции)</t>
  </si>
  <si>
    <t>Определение альбумина в сыворотке крови с БКЗ</t>
  </si>
  <si>
    <t>Определение мочевины в сыворотке крови с диацетилмонооксином</t>
  </si>
  <si>
    <t>Определение креатинина в сыворотке крови по цветной реакции Яффе</t>
  </si>
  <si>
    <t>Определение глюкозы ортотолуидиновым методом в капилярной крови</t>
  </si>
  <si>
    <t>Определение глюкозы на анализаторе "ЭкоТвенти"</t>
  </si>
  <si>
    <t>Определение общего холестерина методом Илька</t>
  </si>
  <si>
    <t>Определение билирубина и его фракций</t>
  </si>
  <si>
    <t>Определение железа в сыворотке крови</t>
  </si>
  <si>
    <t>Определение железосвязывающей способности</t>
  </si>
  <si>
    <t>Определение АЛТ</t>
  </si>
  <si>
    <t>Определение АСТ</t>
  </si>
  <si>
    <t>Определение концентрации мочевой кислоты</t>
  </si>
  <si>
    <t>Определение щелочной фосфотазы</t>
  </si>
  <si>
    <t>Определение гликолизированного гемоглобина</t>
  </si>
  <si>
    <t>Показатели состояния гемостаза:</t>
  </si>
  <si>
    <t>Определение времени свертывания цельной крови</t>
  </si>
  <si>
    <t>Определение времени кровотечения</t>
  </si>
  <si>
    <t xml:space="preserve">Определение протромбированного времени (в капилярной крови)                                                 </t>
  </si>
  <si>
    <t>Определение групп крови по системе АВО (капиллярной) с помощью стандартных сывороток</t>
  </si>
  <si>
    <t>Определение групп крови по системе АВО (венозной) с помощью стандартных сывороток</t>
  </si>
  <si>
    <t>Определение резус фактора методом аглютинации или экспресс методом (венозный)</t>
  </si>
  <si>
    <t>Обработка венозной крови (получение сыворотки)</t>
  </si>
  <si>
    <t>Регистрация материала</t>
  </si>
  <si>
    <t>Прямая проба Кумбса</t>
  </si>
  <si>
    <t>Непрямая проба Кумбса</t>
  </si>
  <si>
    <t>УМСС</t>
  </si>
  <si>
    <t>Цитологические исследования:</t>
  </si>
  <si>
    <t>Цитология женских мазков (1 мазок)</t>
  </si>
  <si>
    <t>Спермограмма</t>
  </si>
  <si>
    <t>Исследования крови методом ИФА:</t>
  </si>
  <si>
    <t>микоплазма IgG, Ig(А), Ig(М)</t>
  </si>
  <si>
    <t>уреаплазма IgG, Ig(А), Ig(М)</t>
  </si>
  <si>
    <t>хламидии IgG</t>
  </si>
  <si>
    <t>хламидии IgМ</t>
  </si>
  <si>
    <t>хламидии IgА</t>
  </si>
  <si>
    <t>Цитомегаловирус IgМ</t>
  </si>
  <si>
    <t>ВПГ IgМ (вирус простого герпеса)</t>
  </si>
  <si>
    <t>токсоплазмоз IgА, IgМ</t>
  </si>
  <si>
    <t>антитела к лямблиям (суммарные)</t>
  </si>
  <si>
    <t>антитела к хеликобактер пелори (суммарные)</t>
  </si>
  <si>
    <t>антитела HBs Ag (гепатит В) + HBs Ag подтвержд</t>
  </si>
  <si>
    <t>антитела к HCY суммарные (гепатит С) + подтверждающий тест</t>
  </si>
  <si>
    <t>Антитела на ЦМВИ IgG (цитомегаловирус)</t>
  </si>
  <si>
    <t xml:space="preserve"> ВПГ IgG (вирус простого герпеса)</t>
  </si>
  <si>
    <t xml:space="preserve"> Токсоплазмоз Ig G</t>
  </si>
  <si>
    <t>Гормоны  ТТГ (тиреотропный гормон) (Хема)</t>
  </si>
  <si>
    <t>Т4 ( свободный тироксин) (Хема)</t>
  </si>
  <si>
    <t>Антитела к ТПО (тиреопероксидазе) ( Хема)</t>
  </si>
  <si>
    <t>ТГ (тиреоглобулин) (Хема)</t>
  </si>
  <si>
    <t>ЛГ (лютеинизирующий гормон) (Хема)</t>
  </si>
  <si>
    <t>Пролактин</t>
  </si>
  <si>
    <t>Эстрадиол Хема</t>
  </si>
  <si>
    <t>ХГЧ (хорионический гонадотропин)</t>
  </si>
  <si>
    <t xml:space="preserve">Онкомаркеры:   </t>
  </si>
  <si>
    <t>ПСА общий (простатический специфический антиген)</t>
  </si>
  <si>
    <t>Функциональная диагностика:</t>
  </si>
  <si>
    <t>ЭКГ на автоматизированных приборах (1 канальный)</t>
  </si>
  <si>
    <t>ЭКГ на автоматизированных многоканальных аппаратах</t>
  </si>
  <si>
    <t>ЭКГ м/о неавтоматизированная (1 канальный)</t>
  </si>
  <si>
    <t>ЭКГ м/о неавтоматизированный (многокальный)</t>
  </si>
  <si>
    <t>ЭКГ с дополнительным отведением (по Небу и Слопаку) в поликлинике</t>
  </si>
  <si>
    <t>ЭКГ с медикам.пробами</t>
  </si>
  <si>
    <t>ФКГ (Фонокардиография)</t>
  </si>
  <si>
    <t>ВЭМ (с периодами отдыха)</t>
  </si>
  <si>
    <t xml:space="preserve">Спирография (автоматизир)                                                                            </t>
  </si>
  <si>
    <t xml:space="preserve">Спирография (неавтоматизир)                                         </t>
  </si>
  <si>
    <t xml:space="preserve">Спирография (автоматизир) с бронхолитиками                                        </t>
  </si>
  <si>
    <t>Спирография (неавтоматизир) с бронхолитиками</t>
  </si>
  <si>
    <t>Реовазография (автоматизир) 1</t>
  </si>
  <si>
    <t>Реовазография (неавтоматизир)</t>
  </si>
  <si>
    <t>Реоэнцефалография 1 с функциональными пробами</t>
  </si>
  <si>
    <t>ТПРГ (тетрополярная реография) автоматизированная</t>
  </si>
  <si>
    <t>ТПРГ (тетрополярная реография) неавтоматизированная</t>
  </si>
  <si>
    <t>ЭЭГ(электроэнцефалография) автоматизированная с допплеровским анализом</t>
  </si>
  <si>
    <t>ЭЭГ(электроэнцефалография) неавтоматизированная</t>
  </si>
  <si>
    <t>Холтеровское мониторирование ЭКГ+АД 2</t>
  </si>
  <si>
    <t>Холтеровское мониторирование ЭКГ</t>
  </si>
  <si>
    <t>Спирография детям (автоматизированная)</t>
  </si>
  <si>
    <t>Спирография детям (неавтоматизированная)</t>
  </si>
  <si>
    <t>Исследование сосудов с цветным допплеровским квантированием</t>
  </si>
  <si>
    <t>Суточное мониторирование артериального давления</t>
  </si>
  <si>
    <t>УЗИ органов малого таза с влагалищным датчиком</t>
  </si>
  <si>
    <t>Вызванные потенциалы:</t>
  </si>
  <si>
    <t>зрительные ВП</t>
  </si>
  <si>
    <t>слуховые ВП</t>
  </si>
  <si>
    <t>Электронейромиография:</t>
  </si>
  <si>
    <t>верхние конечности</t>
  </si>
  <si>
    <t>нижние конечности</t>
  </si>
  <si>
    <t>Ультразвуковая допплерография сосудов конечностей</t>
  </si>
  <si>
    <t>Эндоскопические исследования:</t>
  </si>
  <si>
    <t>Эзофагогастроскопия диагностическая (взрослые)</t>
  </si>
  <si>
    <t>Эзофагогастроскопия диагностическая (дети)</t>
  </si>
  <si>
    <t>Эзофагогастроскопия диагностическая с биопсией (забор материала)</t>
  </si>
  <si>
    <t>Эзофагогастродуоденоскопия диагност (взрослые)</t>
  </si>
  <si>
    <t>Эзофагогастродуоденоскопия диагност (дети)</t>
  </si>
  <si>
    <t>Эндоскопия  диагностическая (взрослые)</t>
  </si>
  <si>
    <t>Эндоскопия  диагностическая (дети)</t>
  </si>
  <si>
    <t>Холедохоскопия диагностическая</t>
  </si>
  <si>
    <t>Фистулохолидохоскопия диагностика</t>
  </si>
  <si>
    <t>Ректоскопия диагностическая (взрослые)</t>
  </si>
  <si>
    <t>Ректоскопия диагностическая (дети)</t>
  </si>
  <si>
    <t>Ректосигмоидоскопия диагностическая (взрослые)</t>
  </si>
  <si>
    <t>Ректосигмоидоскопия диагностическая (дети)</t>
  </si>
  <si>
    <t>Ректосигмоидоколоноскопия диагностическая (взрослые)</t>
  </si>
  <si>
    <t xml:space="preserve">Посещение в поликлинике консультативное (взрослые)                                               </t>
  </si>
  <si>
    <t xml:space="preserve">Посещение в поликлинике консультативное (дети)                                               </t>
  </si>
  <si>
    <t>Медицинский осмотр</t>
  </si>
  <si>
    <t>Очковая коррекция простая</t>
  </si>
  <si>
    <t>Очковая коррекция сложная</t>
  </si>
  <si>
    <t>Иньекция под коньюктиву</t>
  </si>
  <si>
    <t>Зондирование носослезных каналов</t>
  </si>
  <si>
    <t>Эпиляция ресниц (1 глаз)</t>
  </si>
  <si>
    <t>Массаж век</t>
  </si>
  <si>
    <t>Амбулаторные операции:</t>
  </si>
  <si>
    <t>Субконъюктивальная инъекция</t>
  </si>
  <si>
    <t>Парабуальбарная инъекция</t>
  </si>
  <si>
    <t>Тонометрия</t>
  </si>
  <si>
    <t>Туалет при ранении век (перевязка)</t>
  </si>
  <si>
    <t>Поле зрения</t>
  </si>
  <si>
    <t>Гониоскопия</t>
  </si>
  <si>
    <t>Биомикроофтальмоскопия с линзой Гольдмана</t>
  </si>
  <si>
    <t>Тонография по Нестерову</t>
  </si>
  <si>
    <t>Компьютерная периметрия</t>
  </si>
  <si>
    <t>Электростимуляция сетчатки и зрительного нерва</t>
  </si>
  <si>
    <t>Автокераторефрактометрия</t>
  </si>
  <si>
    <t>Отоларингология:</t>
  </si>
  <si>
    <t>Утверждаю:</t>
  </si>
  <si>
    <t>Определение глюкозы крови на аппарате "Саттемит"</t>
  </si>
  <si>
    <t>Определение резус фактора методом с помощью цоликлонов анти Д и анти С</t>
  </si>
  <si>
    <t xml:space="preserve">Детский хирург: </t>
  </si>
  <si>
    <t>консультативный приём</t>
  </si>
  <si>
    <t>консультативный приём (на выезде)</t>
  </si>
  <si>
    <t>профилактический осмотр</t>
  </si>
  <si>
    <t>коррекция ногтевой пластины</t>
  </si>
  <si>
    <t>криохирургия гемангиомы</t>
  </si>
  <si>
    <t>взятие мазка на флору и на цитологию</t>
  </si>
  <si>
    <t>Вибротестер</t>
  </si>
  <si>
    <t>Массаж поясничнокрестцовой области</t>
  </si>
  <si>
    <t>Массаж шейногрудного отдела позвоночника</t>
  </si>
  <si>
    <t>Массаж области позвоночника (область задней поверхности шеи, спины и поясничнокрестцовой области от левой до правой задней аксилярной линии)</t>
  </si>
  <si>
    <t>Сегментарный массаж шейногрудного отдела позвоночника</t>
  </si>
  <si>
    <t>Определение белка методом разведения по Брандберг Роберт  Стольникову</t>
  </si>
  <si>
    <t>Обнаружение яиц гельминтов  метод Като</t>
  </si>
  <si>
    <t>Определение Среактивного белка</t>
  </si>
  <si>
    <t>Определение неполных резус  антител методом конглютинации с применением желатина</t>
  </si>
  <si>
    <t>Определение ревмотоидного фактора в сыворотке крови латекстестом</t>
  </si>
  <si>
    <t>Антитела к ТГ (тиреоглобулину) (Алкорбио)</t>
  </si>
  <si>
    <t>АФП (альфафетопротеин)</t>
  </si>
  <si>
    <t>СА125</t>
  </si>
  <si>
    <t>ЭКГ с физическими нагрузками на 1канальном</t>
  </si>
  <si>
    <t>МЭХО  (эхоэнцефалография)</t>
  </si>
  <si>
    <t>Экпрессдиагностика сердца на аппарате "Кардиовизор"</t>
  </si>
  <si>
    <t>Эзофагогастроскопия лечебнодиагностическая  (взрослые)</t>
  </si>
  <si>
    <t>Эзофагогастроскопия лечебнодиагностическая  (дети)</t>
  </si>
  <si>
    <t>Эзофагогастродуоденоскопия лечдиагност (взрослые)</t>
  </si>
  <si>
    <t>Эзофагогастродуоденоскопия лечдиагност (дети)</t>
  </si>
  <si>
    <t>Промывание слезноносового канала</t>
  </si>
  <si>
    <t xml:space="preserve">    удаление халазиона, атером, кисты век</t>
  </si>
  <si>
    <t xml:space="preserve">    удаление птеригиума</t>
  </si>
  <si>
    <t>Удаление папилом, атером ЛОРорганов</t>
  </si>
  <si>
    <t>Перевязки ожоговых ран до 0,5% 23 ст</t>
  </si>
  <si>
    <t>Перевязки на ожоговые раны 1% 23 ст</t>
  </si>
  <si>
    <t>Перевязки на ожоговые раны 5% 23 ст</t>
  </si>
  <si>
    <t>Артифициальный аборт 69 недель</t>
  </si>
  <si>
    <t>Гистероскопия лечебнодигностическая</t>
  </si>
  <si>
    <t>Смирнова  Ванштейна, рама Чижина (повторно)</t>
  </si>
  <si>
    <t xml:space="preserve"> в одной проекции</t>
  </si>
  <si>
    <t xml:space="preserve"> в двух проекциях</t>
  </si>
  <si>
    <t>Рентгенологические исследования костносуставной системы:</t>
  </si>
  <si>
    <t>Рграфия придаточных пазух носа</t>
  </si>
  <si>
    <t>Рграфия нижней челюсти</t>
  </si>
  <si>
    <t>Рграфия носа</t>
  </si>
  <si>
    <t>Рграфия височной кости</t>
  </si>
  <si>
    <t>Рграфия ключицы</t>
  </si>
  <si>
    <t>Рграфия лопатки в двух проекциях</t>
  </si>
  <si>
    <t>Рграфия позвоночника:</t>
  </si>
  <si>
    <t>Рграфия костей таза</t>
  </si>
  <si>
    <t>Рграфия ребер с аутокомпрессией во время дыхания</t>
  </si>
  <si>
    <t>Рграфия суставов</t>
  </si>
  <si>
    <t>Обзорная рграфия молочных желез в прямой и косой проекциях</t>
  </si>
  <si>
    <t>Обзорная рграфия молочных желез в одной проекции</t>
  </si>
  <si>
    <t>Прицельная рграфия молочной железы</t>
  </si>
  <si>
    <t>Прицельная рграфия молочной железы с прямым увеличением изображения</t>
  </si>
  <si>
    <t>Посещение лечебнодиагностическое в поликлинике</t>
  </si>
  <si>
    <t>МЭХО исследование</t>
  </si>
  <si>
    <t xml:space="preserve">исчислен </t>
  </si>
  <si>
    <t xml:space="preserve">утвержден, руб. </t>
  </si>
  <si>
    <t>брюшной полости</t>
  </si>
  <si>
    <t>простаты</t>
  </si>
  <si>
    <t>цветоощущение</t>
  </si>
  <si>
    <t xml:space="preserve"> Обнаруж.трих.и гонок. 1 локализация</t>
  </si>
  <si>
    <t>Определение глюкозы ортотолуидиновым методом в сыворотке крови</t>
  </si>
  <si>
    <t>Печень,желчный пузырь,поджелудочная железа, селезенка</t>
  </si>
  <si>
    <t>Акушер-гинеколог</t>
  </si>
  <si>
    <t>Пульмонолог</t>
  </si>
  <si>
    <t>Невропатолог,невролог</t>
  </si>
  <si>
    <t>Кардиолог</t>
  </si>
  <si>
    <t>Ревматолог</t>
  </si>
  <si>
    <t>Дерматовенеролог</t>
  </si>
  <si>
    <t>Функциональная диагностика</t>
  </si>
  <si>
    <t>СМТ-терапия</t>
  </si>
  <si>
    <t>СМТ-терапия с применением салфеток</t>
  </si>
  <si>
    <t>СМТ-терапия с применением аппликатора "Пелоид"</t>
  </si>
  <si>
    <t>ДДТ-терпия с применением салфеток</t>
  </si>
  <si>
    <t>Электрофорез с применением салфеток</t>
  </si>
  <si>
    <t>Ультрафонофорез с применением крема,геля</t>
  </si>
  <si>
    <t>Гальванизация с применением аппликатора "Пелоид"</t>
  </si>
  <si>
    <t>Ингаляция с применением соли, криссталов, аромаэмульсии, растворов</t>
  </si>
  <si>
    <t>Массаж с применением крема</t>
  </si>
  <si>
    <t>Массаж с применением масла</t>
  </si>
  <si>
    <t>Кислородный коктейль</t>
  </si>
  <si>
    <t>УВЧ- терапия</t>
  </si>
  <si>
    <t>УФО- облучение</t>
  </si>
  <si>
    <t>Ультразвуковая терапия</t>
  </si>
  <si>
    <t>Фонофорез</t>
  </si>
  <si>
    <t>ДДТ</t>
  </si>
  <si>
    <t>Электросон</t>
  </si>
  <si>
    <t>Магнитная терапия на аппарате "Полюс"</t>
  </si>
  <si>
    <t>Магнитная терапия на аппарате "Полимаг"</t>
  </si>
  <si>
    <t>Индуктотерапия</t>
  </si>
  <si>
    <t>ДДТ-терапия с применение аппликатора "Пелоид"</t>
  </si>
  <si>
    <t xml:space="preserve"> </t>
  </si>
  <si>
    <t>Иммунохемилюминесцентный анализ</t>
  </si>
  <si>
    <t xml:space="preserve"> на аппарате IMMULITE® 2000XPi</t>
  </si>
  <si>
    <t xml:space="preserve"> Определение аутоантител к тиреоглобулину/ Anti-TG Ab (Anti-Thyroglobulin AB)</t>
  </si>
  <si>
    <t xml:space="preserve"> определение аутоантител к пероксидазе тиреоцитов/ Anti TPO Ab</t>
  </si>
  <si>
    <t xml:space="preserve"> определение тироксина свободного (Т4 свободного)/Free T4 </t>
  </si>
  <si>
    <t xml:space="preserve"> определение тиреотропного гормона (ТТГ)/Rapid TSH </t>
  </si>
  <si>
    <t xml:space="preserve"> опроведение теста поглощения тиреоидных гормонов/Thyroid Uptake </t>
  </si>
  <si>
    <t xml:space="preserve"> определение тироксина общего (Т4 общего)/Total T4 </t>
  </si>
  <si>
    <t xml:space="preserve"> определение тироксин-связывающего глобулина (ТСГ)/TBG </t>
  </si>
  <si>
    <t xml:space="preserve"> определение тиреоглобулина (ТГ)/Thyroglobulin </t>
  </si>
  <si>
    <t xml:space="preserve"> определение трийодтиронина общего (ТЗ общего)/Total T3 </t>
  </si>
  <si>
    <t xml:space="preserve"> определение лютеинизирующего гормона ЛГ/LH </t>
  </si>
  <si>
    <t xml:space="preserve"> определение прогестерона/Progesterone </t>
  </si>
  <si>
    <t xml:space="preserve"> определение пролактина/Prolactin </t>
  </si>
  <si>
    <t xml:space="preserve"> определение общего тестостерона/Total Testosterone </t>
  </si>
  <si>
    <t xml:space="preserve"> определение андростендиона/ Androstenedione </t>
  </si>
  <si>
    <t xml:space="preserve"> определение дегидроэпиандростерон-сульфата (ДГЭА-С)/DHEA-SO4 </t>
  </si>
  <si>
    <t xml:space="preserve"> определение свободной b-субъединицы хорионического гонадотропина человека (бета-ХГЧ свободного)/Free Beta HCG </t>
  </si>
  <si>
    <t xml:space="preserve"> определение ассоциированного с беременностью плазменного протеина-А/PAPP-A </t>
  </si>
  <si>
    <t xml:space="preserve"> определение глобулина, связывающего половые гормоны (ГСПГ)/SHBG </t>
  </si>
  <si>
    <t xml:space="preserve"> определение свободного (неконъюгированного) эстриола/Unconjugated Estriol </t>
  </si>
  <si>
    <t xml:space="preserve"> определение фолликулостимулирующего гормона (ФСГ)/FSH </t>
  </si>
  <si>
    <t xml:space="preserve"> определения эстрадиола/Estradiol </t>
  </si>
  <si>
    <t xml:space="preserve"> определение раково-эмбрионального антигена (РЭА)/CEA </t>
  </si>
  <si>
    <t xml:space="preserve"> определение простатического специфического антигена свободного (ПСА свободного) / Free PSA </t>
  </si>
  <si>
    <t xml:space="preserve"> определение ракового углеводного антигена СА19-9 (GI-MA)/GI-MA (CA 19-9) </t>
  </si>
  <si>
    <t xml:space="preserve"> определение ракового антигена СА 15-3 (BR-MA)/BR-MA (CA 15-3) </t>
  </si>
  <si>
    <t xml:space="preserve">определение ракового углеводного антигена СA 125 (ОМ-MA)/OM-MA (CA 125) </t>
  </si>
  <si>
    <t xml:space="preserve"> определение альфа-фетопротеина (АФП)/AFP </t>
  </si>
  <si>
    <t xml:space="preserve"> определение простатической кислой фосфатазы (ПКФ)/PAP </t>
  </si>
  <si>
    <t xml:space="preserve"> определение простатического специфического антигена (ПСА) 3-й генерации (суперчувствительный) / Third Generation PSA </t>
  </si>
  <si>
    <t xml:space="preserve"> определение простатического специфического антигена (ПСА) / PSA </t>
  </si>
  <si>
    <t xml:space="preserve"> определение HBsAg / HBsAg </t>
  </si>
  <si>
    <t xml:space="preserve">определение Anti-HBc IgM / Anti-HBc IgM </t>
  </si>
  <si>
    <t xml:space="preserve"> определение Anti-HBs / Anti-HBs </t>
  </si>
  <si>
    <t xml:space="preserve"> определение антител класса IgG к вирусу краснухи (количеств.) / Rubella Quantitative IgG</t>
  </si>
  <si>
    <t xml:space="preserve"> определение антител класса IgM к вирусу краснухи / Rubella IgM </t>
  </si>
  <si>
    <t xml:space="preserve"> определение антител класса IgG к токсоплазме (количеств.) / Toxoplasma Quantitative IgG</t>
  </si>
  <si>
    <t xml:space="preserve"> определение антител класса IgM к цитомегаловирусу / CMV IgM </t>
  </si>
  <si>
    <t xml:space="preserve"> определение антител класса IgG к цитомегаловирусу / CMV IgG </t>
  </si>
  <si>
    <t xml:space="preserve"> определение Anti-HBc / Anti-HBc </t>
  </si>
  <si>
    <t xml:space="preserve"> определение антител класса IgG к Helicobacter Pylori (полуколичеств.)/H.Pylori IgG </t>
  </si>
  <si>
    <t xml:space="preserve">определение антител класса IgG к вирусу простого герпеса I и II типа/Herpes l &amp; ll IgG </t>
  </si>
  <si>
    <t>определение специфических (антител) к Treponema Pallidum/Syphilis Screen</t>
  </si>
  <si>
    <t>определение антител класса IgG(IgM)к капсидному антигену вируса Эпштейна-Барр/EBV-VGA IgG(EVB-VGA IgM)(IgG к капсидному антигену)</t>
  </si>
  <si>
    <t xml:space="preserve"> определение антител класса IgM (m-Capture) к токсоплазме / Toxoplasma IgM (mu-Capture)</t>
  </si>
  <si>
    <t xml:space="preserve"> определение HBs Ag подтверждающий / HBsAg Confirmatory</t>
  </si>
  <si>
    <t>определение N-терминального мозгового натрийуретического пептида (NT-proBNP)/NT-proBNP</t>
  </si>
  <si>
    <t xml:space="preserve"> определение гомоцистеина/Homocysteine</t>
  </si>
  <si>
    <t xml:space="preserve">определение креатинкиназы-МБ/CK-MB </t>
  </si>
  <si>
    <t xml:space="preserve"> определения миоглобина/Myoglobin </t>
  </si>
  <si>
    <t>определение Д-димера/D-Dimer</t>
  </si>
  <si>
    <t xml:space="preserve">определение тропонина I/Troponin I </t>
  </si>
  <si>
    <t xml:space="preserve">определение инсулина/Insulin </t>
  </si>
  <si>
    <t>определение С-пептида/C-Peptide</t>
  </si>
  <si>
    <t xml:space="preserve">определение витамина В12/Vitamin B12 </t>
  </si>
  <si>
    <t xml:space="preserve">определение ферритина/Ferritin </t>
  </si>
  <si>
    <t>определение эритропоэтина/EPO</t>
  </si>
  <si>
    <t xml:space="preserve">определение общего имуноглобулина Е (IgE)/Total IgE </t>
  </si>
  <si>
    <t>определение фолиевой кислоты/Folic Acid</t>
  </si>
  <si>
    <t xml:space="preserve"> определение кортизола/Cortisol </t>
  </si>
  <si>
    <t>определение карбамазепина/Carbamazepine</t>
  </si>
  <si>
    <t xml:space="preserve">определение дигитоксина/Digitoxin </t>
  </si>
  <si>
    <t xml:space="preserve"> определение дигоксина/Digoxin </t>
  </si>
  <si>
    <t xml:space="preserve">определение фенобарбитала/Phenobarbital </t>
  </si>
  <si>
    <t xml:space="preserve">определение фенитоина/Phenytoin </t>
  </si>
  <si>
    <t xml:space="preserve">определение теофиллина/Theophylline </t>
  </si>
  <si>
    <t xml:space="preserve">определение метаболитов никотина/Nicotine Metabolite </t>
  </si>
  <si>
    <t xml:space="preserve">определение вальпроевой кислоты/Valproic Acid </t>
  </si>
  <si>
    <t xml:space="preserve">определение кальцитонина/Calcitonin </t>
  </si>
  <si>
    <t xml:space="preserve">определение остеокальцина/Osteocalcin </t>
  </si>
  <si>
    <t>определение маркера резорбции костей (дезоксипиридинолин)/Pyrilinks-D</t>
  </si>
  <si>
    <t xml:space="preserve">определение паратиреоидного гормона интактного/Intact PTH </t>
  </si>
  <si>
    <t xml:space="preserve">определение тиреотропного гормона 3-й генерации (ТТГ 3-й генерации)/Third generation TSH </t>
  </si>
  <si>
    <t xml:space="preserve">определение хорионического гонадотропина человека (ХГЧ)/HCG </t>
  </si>
  <si>
    <t xml:space="preserve">определение интерлейкина 6 (IL-6)/IL-6 </t>
  </si>
  <si>
    <t xml:space="preserve"> определение С-реактивного белка (СРБ)/High Sensitiviti СRP</t>
  </si>
  <si>
    <t xml:space="preserve">определение рецептора интерлейкина 2 (IL2R)/IL2R </t>
  </si>
  <si>
    <t>определение липополисахаридсвязывающего протеина/LBP</t>
  </si>
  <si>
    <t xml:space="preserve">определение адренокортикотропного гормона (АКТГ)/ ACTH </t>
  </si>
  <si>
    <t xml:space="preserve">определение протеина-3, связывающего инсулиноподобный фактор роста/IGFBP-3 </t>
  </si>
  <si>
    <t xml:space="preserve">определение инсулиноподобного фактора роста-1/IGF-1 </t>
  </si>
  <si>
    <t xml:space="preserve">определение соматотропного гормона (СТГ)/HGH </t>
  </si>
  <si>
    <t>определение тиреотропного гормона (ТТГ)/Rapid TSH (ТТГ собаки)</t>
  </si>
  <si>
    <t xml:space="preserve">определение аллергической панели Ala TOP (ингаляционный)/ Ala TOP </t>
  </si>
  <si>
    <t xml:space="preserve">определения эозинофильного катионного протеина (ЕСР)/ECP </t>
  </si>
  <si>
    <t xml:space="preserve"> определение бета-2–микроглобулина/Beta-2 Microglobulin </t>
  </si>
  <si>
    <t xml:space="preserve">определение гастрина/Gastrin </t>
  </si>
  <si>
    <t xml:space="preserve">определение альбумина/ Albumin </t>
  </si>
  <si>
    <t>Триглецериды</t>
  </si>
  <si>
    <t>Панкреатическая амилаза</t>
  </si>
  <si>
    <t>Гликированный гемоглобин (HbA1С, Glycated Hemoglobin)</t>
  </si>
  <si>
    <t>Гамма-глутамилтранспептидаза (ГГТ, глутамилтранспептидаза, GGT, Gamma-glutamyl transferase)</t>
  </si>
  <si>
    <t>Послерейсовый осмотр водителей</t>
  </si>
  <si>
    <t>Предрейсовый осмотр водителей</t>
  </si>
  <si>
    <t>Исследование мошонки и яичек</t>
  </si>
  <si>
    <t>УЗИ влагалишный датчик</t>
  </si>
  <si>
    <t>Рентгеноскопия и рентгенография желудка традиционным методом</t>
  </si>
  <si>
    <t>Офтальмалогия:</t>
  </si>
  <si>
    <t>определение трийодтирования</t>
  </si>
  <si>
    <t xml:space="preserve">Посещение в поликлинике  лечебно-диагностическое     </t>
  </si>
  <si>
    <t>УЗИ диагностика сердца</t>
  </si>
  <si>
    <t>Артифициальный аборт 10-12 недель</t>
  </si>
  <si>
    <t xml:space="preserve">Посещение в поликлинике лечебно-диагностическое (взрослые)                                                    </t>
  </si>
  <si>
    <t xml:space="preserve">Посещение в поликлинике лечебно-диагностическое (дети)                                                    </t>
  </si>
  <si>
    <t xml:space="preserve">Посещение лечебно-диагностическое (дети)     </t>
  </si>
  <si>
    <t>Посещение лечебно-диагностическое в поликлинике</t>
  </si>
  <si>
    <t xml:space="preserve">Офтальмолог лечебно-диагностическое    </t>
  </si>
  <si>
    <t xml:space="preserve">Эндокринолог лечебно-диагностическое                                </t>
  </si>
  <si>
    <t xml:space="preserve">Невропатолог лечебно-диагностическое                                  </t>
  </si>
  <si>
    <t xml:space="preserve">Отоларинголог лечебно-диагностическое                                  </t>
  </si>
  <si>
    <t xml:space="preserve">Дерматолог лечебно-диагностическое                                  </t>
  </si>
  <si>
    <t xml:space="preserve">Хирург лечебно-диагностическое                                  </t>
  </si>
  <si>
    <t>врач ортопед   профилактический осмотр</t>
  </si>
  <si>
    <t>врач гинеколог консультатативный приём</t>
  </si>
  <si>
    <t>Рграфия височно- челюстных суставов</t>
  </si>
  <si>
    <t>Функциональные исследования позвоночника</t>
  </si>
  <si>
    <t>Сегментарный массаж пояснично-крестцовой области</t>
  </si>
  <si>
    <t>Лечение трихомониаза (свежий)</t>
  </si>
  <si>
    <t>Лечение негонококкового уретрита</t>
  </si>
  <si>
    <t>Скиаскопия</t>
  </si>
  <si>
    <t>Исследование бинокулярного зрения</t>
  </si>
  <si>
    <t>Определение объема аккомодаций</t>
  </si>
  <si>
    <t>Определение остроты зрения</t>
  </si>
  <si>
    <t>Исследование материалов, полученных при гиненкологическом осмотре, при лечебно-диагностическом осмотре</t>
  </si>
  <si>
    <t>Т3 (свободный трийодтиронин) (Хема)</t>
  </si>
  <si>
    <t>Эндоскопия лечебно-диагностическая  (взрослые)</t>
  </si>
  <si>
    <t>Эндоскопия лечебно-диагностическая (дети)</t>
  </si>
  <si>
    <t>Холедохоскопия лечебно-диагностическая</t>
  </si>
  <si>
    <t>Фистулохолидохоскопия лечебно-диагностическая</t>
  </si>
  <si>
    <t>Ректоскопия лечебно-диагностическая (взрослые)</t>
  </si>
  <si>
    <t>Ректоскопия лечебно-диагностическая (дети)</t>
  </si>
  <si>
    <t>Ректосигмоидоскопия лечебно-диагностическая (взрослые)</t>
  </si>
  <si>
    <t>Ректосигмоидоскопия лечебно-диагностическая (дети)</t>
  </si>
  <si>
    <t>Ректосигмоидоколоноскопия лечебно-диагностическая с биопсией (взрослые)</t>
  </si>
  <si>
    <t>Ректосигмоидоколоноскопия лечебно-диагностическая (дети)</t>
  </si>
  <si>
    <t>Цистоскопия диагностическая, лечебно-диагностическая (дети)</t>
  </si>
  <si>
    <t>Цистоскопия диагностическая, лечебно-диагностическая (взрослые)</t>
  </si>
  <si>
    <t>Гистероскопия диагностическая, лечебно-диагностическая (взрослые)</t>
  </si>
  <si>
    <t>Гистероскопия диагностическая, лечебно-диагностическая (дети)</t>
  </si>
  <si>
    <t>Снятие повязок Чижина, Смирнова,Ванштейна</t>
  </si>
  <si>
    <t>Исследование материалов, полученных при гинекологическом осмотре, при профилактическом осмотре</t>
  </si>
  <si>
    <t>Услуга на введение имплантируемого контрацептива "Импланон" (без препарата)</t>
  </si>
  <si>
    <t>Введение имплантируемого контрацептива "Импланон"(с препаратом+услуга)</t>
  </si>
  <si>
    <t>Медосмотр  нарколог</t>
  </si>
  <si>
    <t>Выявление марихуаны (и ее метаболитов) в моче человека методом иммунохроматографического анализа.</t>
  </si>
  <si>
    <t>УЗИ головного мозга</t>
  </si>
  <si>
    <t>УЗИ Тазобедренного сустава</t>
  </si>
  <si>
    <t>Забор кала  на ротавирусы</t>
  </si>
  <si>
    <t>Прейскурант на платные услуги по амбулаторно-поликлинической службе ГБУЗ "Городская поликлиника № 1" на 2018 г.</t>
  </si>
  <si>
    <t>_____________Д.Н.Самбуев</t>
  </si>
  <si>
    <t xml:space="preserve">утвержден,           руб. </t>
  </si>
  <si>
    <t>Министр здравоохранения</t>
  </si>
  <si>
    <t>Платные услуги по амбулаторно-поликлинической службе оказываемые  в выходные дни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</si>
</sst>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mmm/yyyy"/>
    <numFmt numFmtId="167" formatCode="0.0%"/>
    <numFmt numFmtId="168" formatCode="0.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#,##0.0&quot;р.&quot;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d/m"/>
    <numFmt numFmtId="181" formatCode="d\ mmm"/>
    <numFmt numFmtId="182" formatCode="[$-419]mmmm;@"/>
    <numFmt numFmtId="183" formatCode="_-* #,##0.0_р_._-;\-* #,##0.0_р_._-;_-* &quot;-&quot;??_р_._-;_-@_-"/>
    <numFmt numFmtId="184" formatCode="#,##0.00_ ;\-#,##0.00\ "/>
    <numFmt numFmtId="185" formatCode="0.00;[Red]0.00"/>
    <numFmt numFmtId="186" formatCode="#,##0.0"/>
    <numFmt numFmtId="187" formatCode="#,##0.000"/>
    <numFmt numFmtId="188" formatCode="#,##0.0000"/>
    <numFmt numFmtId="189" formatCode="_-* #,##0_р_._-;\-* #,##0_р_._-;_-* &quot;-&quot;??_р_._-;_-@_-"/>
    <numFmt numFmtId="190" formatCode="_-* #,##0.000_р_._-;\-* #,##0.000_р_._-;_-* &quot;-&quot;??_р_._-;_-@_-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22"/>
      <name val="Arial Cyr"/>
      <family val="0"/>
    </font>
    <font>
      <sz val="22"/>
      <name val="Arial"/>
      <family val="2"/>
    </font>
    <font>
      <b/>
      <i/>
      <sz val="2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0" fillId="32" borderId="10" xfId="0" applyFont="1" applyFill="1" applyBorder="1" applyAlignment="1">
      <alignment vertical="top" wrapText="1"/>
    </xf>
    <xf numFmtId="0" fontId="13" fillId="32" borderId="0" xfId="0" applyFont="1" applyFill="1" applyAlignment="1">
      <alignment/>
    </xf>
    <xf numFmtId="0" fontId="12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54" applyFont="1" applyFill="1" applyBorder="1" applyAlignment="1">
      <alignment horizontal="left" vertical="center" wrapText="1"/>
      <protection/>
    </xf>
    <xf numFmtId="0" fontId="10" fillId="0" borderId="11" xfId="54" applyFont="1" applyFill="1" applyBorder="1" applyAlignment="1">
      <alignment horizontal="left"/>
      <protection/>
    </xf>
    <xf numFmtId="189" fontId="10" fillId="32" borderId="12" xfId="72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0" borderId="11" xfId="54" applyFont="1" applyBorder="1" applyAlignment="1">
      <alignment horizontal="center" vertical="center"/>
      <protection/>
    </xf>
    <xf numFmtId="189" fontId="5" fillId="32" borderId="0" xfId="72" applyNumberFormat="1" applyFont="1" applyFill="1" applyAlignment="1">
      <alignment horizontal="center" wrapText="1"/>
    </xf>
    <xf numFmtId="0" fontId="5" fillId="32" borderId="0" xfId="0" applyFont="1" applyFill="1" applyAlignment="1">
      <alignment horizontal="center"/>
    </xf>
    <xf numFmtId="189" fontId="10" fillId="33" borderId="12" xfId="72" applyNumberFormat="1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horizontal="left" vertical="top" wrapText="1"/>
    </xf>
    <xf numFmtId="0" fontId="10" fillId="0" borderId="12" xfId="54" applyFont="1" applyFill="1" applyBorder="1" applyAlignment="1">
      <alignment horizontal="left"/>
      <protection/>
    </xf>
    <xf numFmtId="0" fontId="10" fillId="0" borderId="12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horizontal="left" wrapText="1"/>
    </xf>
    <xf numFmtId="0" fontId="15" fillId="32" borderId="10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vertical="top" wrapText="1"/>
    </xf>
    <xf numFmtId="0" fontId="10" fillId="0" borderId="10" xfId="60" applyFont="1" applyBorder="1" applyAlignment="1">
      <alignment horizontal="left" wrapText="1"/>
      <protection/>
    </xf>
    <xf numFmtId="0" fontId="10" fillId="0" borderId="11" xfId="64" applyFont="1" applyFill="1" applyBorder="1" applyAlignment="1">
      <alignment horizontal="left" vertical="top" wrapText="1"/>
      <protection/>
    </xf>
    <xf numFmtId="0" fontId="10" fillId="0" borderId="11" xfId="54" applyFont="1" applyFill="1" applyBorder="1" applyAlignment="1">
      <alignment horizontal="left" wrapText="1"/>
      <protection/>
    </xf>
    <xf numFmtId="0" fontId="10" fillId="0" borderId="12" xfId="64" applyFont="1" applyFill="1" applyBorder="1" applyAlignment="1">
      <alignment horizontal="left" vertical="top" wrapText="1"/>
      <protection/>
    </xf>
    <xf numFmtId="0" fontId="55" fillId="0" borderId="12" xfId="64" applyFont="1" applyFill="1" applyBorder="1" applyAlignment="1">
      <alignment horizontal="left" vertical="top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12" xfId="54" applyFont="1" applyFill="1" applyBorder="1" applyAlignment="1">
      <alignment horizontal="left" wrapText="1"/>
      <protection/>
    </xf>
    <xf numFmtId="49" fontId="10" fillId="32" borderId="10" xfId="0" applyNumberFormat="1" applyFont="1" applyFill="1" applyBorder="1" applyAlignment="1">
      <alignment horizontal="left" vertical="top" wrapText="1"/>
    </xf>
    <xf numFmtId="0" fontId="10" fillId="32" borderId="12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0" fillId="32" borderId="0" xfId="0" applyFont="1" applyFill="1" applyAlignment="1">
      <alignment horizontal="center"/>
    </xf>
    <xf numFmtId="0" fontId="10" fillId="32" borderId="12" xfId="0" applyNumberFormat="1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4" fillId="32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60" applyFont="1" applyBorder="1" applyAlignment="1">
      <alignment horizontal="center" wrapText="1"/>
      <protection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1" xfId="54" applyNumberFormat="1" applyFont="1" applyBorder="1" applyAlignment="1">
      <alignment horizontal="center" vertical="center"/>
      <protection/>
    </xf>
    <xf numFmtId="0" fontId="7" fillId="32" borderId="0" xfId="0" applyFont="1" applyFill="1" applyAlignment="1">
      <alignment horizontal="center"/>
    </xf>
    <xf numFmtId="189" fontId="10" fillId="32" borderId="12" xfId="72" applyNumberFormat="1" applyFont="1" applyFill="1" applyBorder="1" applyAlignment="1">
      <alignment horizontal="center" vertical="center" wrapText="1"/>
    </xf>
    <xf numFmtId="189" fontId="10" fillId="33" borderId="12" xfId="72" applyNumberFormat="1" applyFont="1" applyFill="1" applyBorder="1" applyAlignment="1">
      <alignment horizontal="center" vertical="center" wrapText="1"/>
    </xf>
    <xf numFmtId="1" fontId="10" fillId="0" borderId="11" xfId="54" applyNumberFormat="1" applyFont="1" applyBorder="1" applyAlignment="1">
      <alignment horizontal="center" vertical="center"/>
      <protection/>
    </xf>
    <xf numFmtId="189" fontId="11" fillId="33" borderId="12" xfId="72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/>
    </xf>
    <xf numFmtId="1" fontId="10" fillId="33" borderId="12" xfId="72" applyNumberFormat="1" applyFont="1" applyFill="1" applyBorder="1" applyAlignment="1">
      <alignment horizontal="center" vertical="center" wrapText="1"/>
    </xf>
    <xf numFmtId="1" fontId="11" fillId="33" borderId="12" xfId="72" applyNumberFormat="1" applyFont="1" applyFill="1" applyBorder="1" applyAlignment="1">
      <alignment horizontal="center" vertical="center" wrapText="1"/>
    </xf>
    <xf numFmtId="1" fontId="10" fillId="33" borderId="10" xfId="63" applyNumberFormat="1" applyFont="1" applyFill="1" applyBorder="1" applyAlignment="1">
      <alignment horizontal="center" vertical="center" wrapText="1"/>
      <protection/>
    </xf>
    <xf numFmtId="1" fontId="10" fillId="33" borderId="10" xfId="0" applyNumberFormat="1" applyFont="1" applyFill="1" applyBorder="1" applyAlignment="1">
      <alignment horizontal="center" vertical="center"/>
    </xf>
    <xf numFmtId="1" fontId="10" fillId="33" borderId="12" xfId="60" applyNumberFormat="1" applyFont="1" applyFill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89" fontId="10" fillId="33" borderId="11" xfId="72" applyNumberFormat="1" applyFont="1" applyFill="1" applyBorder="1" applyAlignment="1">
      <alignment horizontal="center" vertical="center" wrapText="1"/>
    </xf>
    <xf numFmtId="1" fontId="55" fillId="0" borderId="11" xfId="54" applyNumberFormat="1" applyFont="1" applyBorder="1" applyAlignment="1">
      <alignment horizontal="center" vertical="center"/>
      <protection/>
    </xf>
    <xf numFmtId="189" fontId="55" fillId="33" borderId="12" xfId="72" applyNumberFormat="1" applyFont="1" applyFill="1" applyBorder="1" applyAlignment="1">
      <alignment horizontal="center" vertical="center" wrapText="1"/>
    </xf>
    <xf numFmtId="1" fontId="10" fillId="0" borderId="12" xfId="54" applyNumberFormat="1" applyFont="1" applyBorder="1" applyAlignment="1">
      <alignment horizontal="center" vertical="center"/>
      <protection/>
    </xf>
    <xf numFmtId="189" fontId="12" fillId="32" borderId="0" xfId="72" applyNumberFormat="1" applyFont="1" applyFill="1" applyAlignment="1">
      <alignment horizontal="center" wrapText="1"/>
    </xf>
    <xf numFmtId="189" fontId="12" fillId="34" borderId="0" xfId="72" applyNumberFormat="1" applyFont="1" applyFill="1" applyAlignment="1">
      <alignment horizontal="center" wrapText="1"/>
    </xf>
    <xf numFmtId="189" fontId="5" fillId="32" borderId="0" xfId="72" applyNumberFormat="1" applyFont="1" applyFill="1" applyAlignment="1">
      <alignment vertical="top" wrapText="1"/>
    </xf>
    <xf numFmtId="189" fontId="7" fillId="32" borderId="0" xfId="72" applyNumberFormat="1" applyFont="1" applyFill="1" applyAlignment="1">
      <alignment vertical="top" wrapText="1"/>
    </xf>
    <xf numFmtId="0" fontId="17" fillId="32" borderId="12" xfId="0" applyFont="1" applyFill="1" applyBorder="1" applyAlignment="1">
      <alignment horizontal="center"/>
    </xf>
    <xf numFmtId="189" fontId="17" fillId="32" borderId="12" xfId="72" applyNumberFormat="1" applyFont="1" applyFill="1" applyBorder="1" applyAlignment="1">
      <alignment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7" fillId="32" borderId="10" xfId="0" applyFont="1" applyFill="1" applyBorder="1" applyAlignment="1">
      <alignment vertical="top" wrapText="1"/>
    </xf>
    <xf numFmtId="0" fontId="17" fillId="32" borderId="10" xfId="0" applyFont="1" applyFill="1" applyBorder="1" applyAlignment="1">
      <alignment horizontal="justify" wrapText="1"/>
    </xf>
    <xf numFmtId="0" fontId="18" fillId="32" borderId="10" xfId="0" applyFont="1" applyFill="1" applyBorder="1" applyAlignment="1">
      <alignment vertical="top" wrapText="1"/>
    </xf>
    <xf numFmtId="0" fontId="6" fillId="32" borderId="0" xfId="0" applyFont="1" applyFill="1" applyBorder="1" applyAlignment="1">
      <alignment wrapText="1"/>
    </xf>
    <xf numFmtId="0" fontId="16" fillId="32" borderId="0" xfId="0" applyFont="1" applyFill="1" applyBorder="1" applyAlignment="1">
      <alignment horizontal="center" wrapText="1"/>
    </xf>
    <xf numFmtId="189" fontId="5" fillId="32" borderId="0" xfId="72" applyNumberFormat="1" applyFont="1" applyFill="1" applyAlignment="1">
      <alignment horizontal="center" wrapText="1"/>
    </xf>
    <xf numFmtId="189" fontId="5" fillId="32" borderId="0" xfId="72" applyNumberFormat="1" applyFont="1" applyFill="1" applyAlignment="1">
      <alignment horizontal="left" wrapText="1"/>
    </xf>
    <xf numFmtId="189" fontId="10" fillId="33" borderId="11" xfId="72" applyNumberFormat="1" applyFont="1" applyFill="1" applyBorder="1" applyAlignment="1">
      <alignment horizontal="center" vertical="center" wrapText="1"/>
    </xf>
    <xf numFmtId="189" fontId="10" fillId="33" borderId="14" xfId="72" applyNumberFormat="1" applyFont="1" applyFill="1" applyBorder="1" applyAlignment="1">
      <alignment horizontal="center" vertical="center" wrapText="1"/>
    </xf>
    <xf numFmtId="0" fontId="10" fillId="0" borderId="11" xfId="54" applyFont="1" applyBorder="1" applyAlignment="1">
      <alignment horizontal="center" vertical="center"/>
      <protection/>
    </xf>
    <xf numFmtId="0" fontId="10" fillId="0" borderId="15" xfId="54" applyFont="1" applyBorder="1" applyAlignment="1">
      <alignment horizontal="center" vertical="center"/>
      <protection/>
    </xf>
    <xf numFmtId="0" fontId="10" fillId="0" borderId="11" xfId="64" applyFont="1" applyFill="1" applyBorder="1" applyAlignment="1">
      <alignment horizontal="left" vertical="top" wrapText="1"/>
      <protection/>
    </xf>
    <xf numFmtId="0" fontId="10" fillId="0" borderId="15" xfId="64" applyFont="1" applyFill="1" applyBorder="1" applyAlignment="1">
      <alignment horizontal="left" vertical="top" wrapText="1"/>
      <protection/>
    </xf>
    <xf numFmtId="0" fontId="11" fillId="32" borderId="16" xfId="0" applyFont="1" applyFill="1" applyBorder="1" applyAlignment="1">
      <alignment horizontal="center" wrapText="1"/>
    </xf>
    <xf numFmtId="189" fontId="11" fillId="32" borderId="0" xfId="72" applyNumberFormat="1" applyFont="1" applyFill="1" applyAlignment="1">
      <alignment wrapText="1"/>
    </xf>
    <xf numFmtId="189" fontId="11" fillId="32" borderId="0" xfId="72" applyNumberFormat="1" applyFont="1" applyFill="1" applyAlignment="1">
      <alignment horizontal="left"/>
    </xf>
    <xf numFmtId="189" fontId="11" fillId="32" borderId="0" xfId="72" applyNumberFormat="1" applyFont="1" applyFill="1" applyAlignment="1">
      <alignment horizontal="center" wrapText="1"/>
    </xf>
    <xf numFmtId="0" fontId="11" fillId="0" borderId="11" xfId="54" applyFont="1" applyBorder="1" applyAlignment="1">
      <alignment horizontal="center"/>
      <protection/>
    </xf>
    <xf numFmtId="0" fontId="11" fillId="0" borderId="14" xfId="54" applyFont="1" applyBorder="1" applyAlignment="1">
      <alignment horizontal="center"/>
      <protection/>
    </xf>
    <xf numFmtId="1" fontId="10" fillId="0" borderId="11" xfId="54" applyNumberFormat="1" applyFont="1" applyBorder="1" applyAlignment="1">
      <alignment horizontal="center" vertical="center"/>
      <protection/>
    </xf>
    <xf numFmtId="1" fontId="10" fillId="0" borderId="14" xfId="54" applyNumberFormat="1" applyFont="1" applyBorder="1" applyAlignment="1">
      <alignment horizontal="center" vertical="center"/>
      <protection/>
    </xf>
    <xf numFmtId="189" fontId="10" fillId="8" borderId="11" xfId="72" applyNumberFormat="1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_Лист1" xfId="63"/>
    <cellStyle name="Обычный_Основно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5"/>
  <sheetViews>
    <sheetView zoomScalePageLayoutView="0" workbookViewId="0" topLeftCell="A22">
      <selection activeCell="B27" sqref="B27"/>
    </sheetView>
  </sheetViews>
  <sheetFormatPr defaultColWidth="9.00390625" defaultRowHeight="12.75"/>
  <cols>
    <col min="1" max="1" width="7.00390625" style="48" customWidth="1"/>
    <col min="2" max="2" width="59.875" style="2" customWidth="1"/>
    <col min="3" max="3" width="12.625" style="68" customWidth="1"/>
    <col min="4" max="4" width="14.875" style="68" customWidth="1"/>
    <col min="5" max="16384" width="9.125" style="1" customWidth="1"/>
  </cols>
  <sheetData>
    <row r="1" spans="1:5" ht="37.5" customHeight="1">
      <c r="A1" s="76" t="s">
        <v>753</v>
      </c>
      <c r="B1" s="76"/>
      <c r="C1" s="76"/>
      <c r="D1" s="76"/>
      <c r="E1" s="75"/>
    </row>
    <row r="2" spans="1:4" ht="31.5" customHeight="1">
      <c r="A2" s="69"/>
      <c r="B2" s="69" t="s">
        <v>292</v>
      </c>
      <c r="C2" s="70" t="s">
        <v>563</v>
      </c>
      <c r="D2" s="70" t="s">
        <v>751</v>
      </c>
    </row>
    <row r="3" spans="1:4" ht="15.75" customHeight="1">
      <c r="A3" s="69"/>
      <c r="B3" s="71" t="s">
        <v>293</v>
      </c>
      <c r="C3" s="70"/>
      <c r="D3" s="70"/>
    </row>
    <row r="4" spans="1:4" ht="16.5" customHeight="1">
      <c r="A4" s="69">
        <v>1</v>
      </c>
      <c r="B4" s="72" t="s">
        <v>240</v>
      </c>
      <c r="C4" s="70">
        <v>1182</v>
      </c>
      <c r="D4" s="70">
        <f>1060*1.07</f>
        <v>1134.2</v>
      </c>
    </row>
    <row r="5" spans="1:4" ht="16.5" customHeight="1">
      <c r="A5" s="69">
        <v>2</v>
      </c>
      <c r="B5" s="72" t="s">
        <v>241</v>
      </c>
      <c r="C5" s="70">
        <v>393</v>
      </c>
      <c r="D5" s="70">
        <f>353*1.07</f>
        <v>377.71000000000004</v>
      </c>
    </row>
    <row r="6" spans="1:4" ht="16.5" customHeight="1">
      <c r="A6" s="69">
        <v>3</v>
      </c>
      <c r="B6" s="72" t="s">
        <v>242</v>
      </c>
      <c r="C6" s="70">
        <v>1182</v>
      </c>
      <c r="D6" s="70">
        <f>1060*1.07</f>
        <v>1134.2</v>
      </c>
    </row>
    <row r="7" spans="1:4" ht="16.5" customHeight="1">
      <c r="A7" s="69">
        <v>4</v>
      </c>
      <c r="B7" s="72" t="s">
        <v>243</v>
      </c>
      <c r="C7" s="70">
        <v>393</v>
      </c>
      <c r="D7" s="70">
        <f>353*1.07</f>
        <v>377.71000000000004</v>
      </c>
    </row>
    <row r="8" spans="1:4" ht="16.5" customHeight="1">
      <c r="A8" s="69">
        <v>5</v>
      </c>
      <c r="B8" s="72" t="s">
        <v>244</v>
      </c>
      <c r="C8" s="70">
        <v>393</v>
      </c>
      <c r="D8" s="70">
        <f>353*1.07</f>
        <v>377.71000000000004</v>
      </c>
    </row>
    <row r="9" spans="1:4" ht="16.5" customHeight="1">
      <c r="A9" s="69">
        <v>6</v>
      </c>
      <c r="B9" s="72" t="s">
        <v>245</v>
      </c>
      <c r="C9" s="70">
        <v>393</v>
      </c>
      <c r="D9" s="70">
        <f>353*1.07</f>
        <v>377.71000000000004</v>
      </c>
    </row>
    <row r="10" spans="1:4" ht="16.5" customHeight="1">
      <c r="A10" s="69">
        <v>7</v>
      </c>
      <c r="B10" s="72" t="s">
        <v>246</v>
      </c>
      <c r="C10" s="70">
        <f aca="true" t="shared" si="0" ref="C10:C22">D10*1.25</f>
        <v>353.1</v>
      </c>
      <c r="D10" s="70">
        <f>264*1.07</f>
        <v>282.48</v>
      </c>
    </row>
    <row r="11" spans="1:4" ht="30" customHeight="1">
      <c r="A11" s="69">
        <v>8</v>
      </c>
      <c r="B11" s="72" t="s">
        <v>294</v>
      </c>
      <c r="C11" s="70">
        <f t="shared" si="0"/>
        <v>589.8375</v>
      </c>
      <c r="D11" s="70">
        <f>441*1.07</f>
        <v>471.87</v>
      </c>
    </row>
    <row r="12" spans="1:4" ht="16.5" customHeight="1">
      <c r="A12" s="69">
        <v>9</v>
      </c>
      <c r="B12" s="72" t="s">
        <v>247</v>
      </c>
      <c r="C12" s="70">
        <f t="shared" si="0"/>
        <v>708.875</v>
      </c>
      <c r="D12" s="70">
        <f>530*1.07</f>
        <v>567.1</v>
      </c>
    </row>
    <row r="13" spans="1:4" ht="16.5" customHeight="1">
      <c r="A13" s="69">
        <v>10</v>
      </c>
      <c r="B13" s="72" t="s">
        <v>291</v>
      </c>
      <c r="C13" s="70">
        <f t="shared" si="0"/>
        <v>708.875</v>
      </c>
      <c r="D13" s="70">
        <f>530*1.07</f>
        <v>567.1</v>
      </c>
    </row>
    <row r="14" spans="1:4" ht="16.5" customHeight="1">
      <c r="A14" s="69">
        <v>11</v>
      </c>
      <c r="B14" s="72" t="s">
        <v>248</v>
      </c>
      <c r="C14" s="70">
        <v>393</v>
      </c>
      <c r="D14" s="70">
        <f>353*1.07</f>
        <v>377.71000000000004</v>
      </c>
    </row>
    <row r="15" spans="1:4" ht="16.5" customHeight="1">
      <c r="A15" s="69">
        <v>12</v>
      </c>
      <c r="B15" s="72" t="s">
        <v>295</v>
      </c>
      <c r="C15" s="70">
        <v>393</v>
      </c>
      <c r="D15" s="70">
        <f>353*1.07</f>
        <v>377.71000000000004</v>
      </c>
    </row>
    <row r="16" spans="1:4" ht="16.5" customHeight="1">
      <c r="A16" s="69">
        <v>13</v>
      </c>
      <c r="B16" s="72" t="s">
        <v>296</v>
      </c>
      <c r="C16" s="70">
        <v>393</v>
      </c>
      <c r="D16" s="70">
        <f>353*1.07</f>
        <v>377.71000000000004</v>
      </c>
    </row>
    <row r="17" spans="1:4" ht="16.5" customHeight="1">
      <c r="A17" s="69">
        <v>14</v>
      </c>
      <c r="B17" s="72" t="s">
        <v>249</v>
      </c>
      <c r="C17" s="70">
        <f t="shared" si="0"/>
        <v>353.1</v>
      </c>
      <c r="D17" s="70">
        <f>264*1.07</f>
        <v>282.48</v>
      </c>
    </row>
    <row r="18" spans="1:4" ht="16.5" customHeight="1">
      <c r="A18" s="69">
        <v>15</v>
      </c>
      <c r="B18" s="72" t="s">
        <v>297</v>
      </c>
      <c r="C18" s="70">
        <v>393</v>
      </c>
      <c r="D18" s="70">
        <f>353*1.07</f>
        <v>377.71000000000004</v>
      </c>
    </row>
    <row r="19" spans="1:4" ht="16.5" customHeight="1">
      <c r="A19" s="69">
        <v>16</v>
      </c>
      <c r="B19" s="72" t="s">
        <v>298</v>
      </c>
      <c r="C19" s="70">
        <v>393</v>
      </c>
      <c r="D19" s="70">
        <f>353*1.07</f>
        <v>377.71000000000004</v>
      </c>
    </row>
    <row r="20" spans="1:4" ht="16.5" customHeight="1">
      <c r="A20" s="69">
        <v>17</v>
      </c>
      <c r="B20" s="72" t="s">
        <v>299</v>
      </c>
      <c r="C20" s="70">
        <v>393</v>
      </c>
      <c r="D20" s="70">
        <f>353*1.07</f>
        <v>377.71000000000004</v>
      </c>
    </row>
    <row r="21" spans="1:4" ht="16.5" customHeight="1">
      <c r="A21" s="69">
        <v>18</v>
      </c>
      <c r="B21" s="72" t="s">
        <v>300</v>
      </c>
      <c r="C21" s="70">
        <v>393</v>
      </c>
      <c r="D21" s="70">
        <f>353*1.07</f>
        <v>377.71000000000004</v>
      </c>
    </row>
    <row r="22" spans="1:4" ht="30" customHeight="1">
      <c r="A22" s="69">
        <v>19</v>
      </c>
      <c r="B22" s="72" t="s">
        <v>301</v>
      </c>
      <c r="C22" s="70">
        <f t="shared" si="0"/>
        <v>1465.9</v>
      </c>
      <c r="D22" s="70">
        <f>1096*1.07</f>
        <v>1172.72</v>
      </c>
    </row>
    <row r="23" spans="1:4" ht="16.5">
      <c r="A23" s="69"/>
      <c r="B23" s="71" t="s">
        <v>250</v>
      </c>
      <c r="C23" s="70"/>
      <c r="D23" s="70"/>
    </row>
    <row r="24" spans="1:4" ht="30" customHeight="1">
      <c r="A24" s="69">
        <v>1</v>
      </c>
      <c r="B24" s="72" t="s">
        <v>570</v>
      </c>
      <c r="C24" s="70">
        <v>1102</v>
      </c>
      <c r="D24" s="70">
        <f>987*1.07</f>
        <v>1056.0900000000001</v>
      </c>
    </row>
    <row r="25" spans="1:4" ht="14.25" customHeight="1">
      <c r="A25" s="69">
        <v>2</v>
      </c>
      <c r="B25" s="72" t="s">
        <v>230</v>
      </c>
      <c r="C25" s="70">
        <v>734</v>
      </c>
      <c r="D25" s="70">
        <f>657*1.07</f>
        <v>702.99</v>
      </c>
    </row>
    <row r="26" spans="1:4" ht="14.25" customHeight="1">
      <c r="A26" s="69">
        <v>3</v>
      </c>
      <c r="B26" s="72" t="s">
        <v>251</v>
      </c>
      <c r="C26" s="70">
        <v>661</v>
      </c>
      <c r="D26" s="70">
        <f>592*1.07</f>
        <v>633.44</v>
      </c>
    </row>
    <row r="27" spans="1:4" ht="30" customHeight="1">
      <c r="A27" s="69">
        <v>4</v>
      </c>
      <c r="B27" s="72" t="s">
        <v>252</v>
      </c>
      <c r="C27" s="70">
        <v>1468</v>
      </c>
      <c r="D27" s="70">
        <f>1315*1.07</f>
        <v>1407.0500000000002</v>
      </c>
    </row>
    <row r="28" spans="1:4" ht="17.25">
      <c r="A28" s="69"/>
      <c r="B28" s="74" t="s">
        <v>304</v>
      </c>
      <c r="C28" s="70"/>
      <c r="D28" s="70"/>
    </row>
    <row r="29" spans="1:4" ht="16.5">
      <c r="A29" s="69">
        <v>5</v>
      </c>
      <c r="B29" s="72" t="s">
        <v>241</v>
      </c>
      <c r="C29" s="70">
        <v>538</v>
      </c>
      <c r="D29" s="70">
        <f>483*1.07</f>
        <v>516.8100000000001</v>
      </c>
    </row>
    <row r="30" spans="1:4" ht="16.5">
      <c r="A30" s="69">
        <v>6</v>
      </c>
      <c r="B30" s="72" t="s">
        <v>242</v>
      </c>
      <c r="C30" s="70">
        <f>D30*1.25</f>
        <v>1645.1250000000002</v>
      </c>
      <c r="D30" s="70">
        <f>1230*1.07</f>
        <v>1316.1000000000001</v>
      </c>
    </row>
    <row r="31" spans="1:4" ht="16.5">
      <c r="A31" s="69">
        <v>7</v>
      </c>
      <c r="B31" s="72" t="s">
        <v>231</v>
      </c>
      <c r="C31" s="70">
        <v>1146</v>
      </c>
      <c r="D31" s="70">
        <f>1026*1.07</f>
        <v>1097.8200000000002</v>
      </c>
    </row>
    <row r="32" spans="1:4" ht="16.5">
      <c r="A32" s="69">
        <v>8</v>
      </c>
      <c r="B32" s="72" t="s">
        <v>243</v>
      </c>
      <c r="C32" s="70">
        <v>538</v>
      </c>
      <c r="D32" s="70">
        <f>483*1.07</f>
        <v>516.8100000000001</v>
      </c>
    </row>
    <row r="33" spans="1:4" ht="16.5">
      <c r="A33" s="69">
        <v>9</v>
      </c>
      <c r="B33" s="72" t="s">
        <v>245</v>
      </c>
      <c r="C33" s="70">
        <v>457</v>
      </c>
      <c r="D33" s="70">
        <f>410*1.07</f>
        <v>438.70000000000005</v>
      </c>
    </row>
    <row r="34" spans="1:4" ht="16.5">
      <c r="A34" s="69">
        <v>10</v>
      </c>
      <c r="B34" s="72" t="s">
        <v>253</v>
      </c>
      <c r="C34" s="70">
        <f>D34*1.25</f>
        <v>958.9875000000001</v>
      </c>
      <c r="D34" s="70">
        <f>717*1.07</f>
        <v>767.19</v>
      </c>
    </row>
    <row r="35" spans="1:4" ht="16.5">
      <c r="A35" s="69">
        <v>11</v>
      </c>
      <c r="B35" s="72" t="s">
        <v>254</v>
      </c>
      <c r="C35" s="70">
        <v>672</v>
      </c>
      <c r="D35" s="70">
        <f>601*1.07</f>
        <v>643.07</v>
      </c>
    </row>
    <row r="36" spans="1:4" ht="16.5">
      <c r="A36" s="69"/>
      <c r="B36" s="71" t="s">
        <v>577</v>
      </c>
      <c r="C36" s="70"/>
      <c r="D36" s="70"/>
    </row>
    <row r="37" spans="1:4" ht="16.5">
      <c r="A37" s="69"/>
      <c r="B37" s="72" t="s">
        <v>460</v>
      </c>
      <c r="C37" s="70"/>
      <c r="D37" s="70"/>
    </row>
    <row r="38" spans="1:4" ht="16.5">
      <c r="A38" s="69">
        <v>1</v>
      </c>
      <c r="B38" s="72" t="s">
        <v>461</v>
      </c>
      <c r="C38" s="70">
        <f>D38*1.25</f>
        <v>501.5625</v>
      </c>
      <c r="D38" s="70">
        <f>375*1.07</f>
        <v>401.25</v>
      </c>
    </row>
    <row r="39" spans="1:4" ht="16.5">
      <c r="A39" s="69">
        <v>2</v>
      </c>
      <c r="B39" s="72" t="s">
        <v>462</v>
      </c>
      <c r="C39" s="70">
        <f>D39*1.25</f>
        <v>501.5625</v>
      </c>
      <c r="D39" s="70">
        <f>375*1.07</f>
        <v>401.25</v>
      </c>
    </row>
    <row r="40" spans="1:4" ht="16.5">
      <c r="A40" s="69"/>
      <c r="B40" s="72" t="s">
        <v>463</v>
      </c>
      <c r="C40" s="70"/>
      <c r="D40" s="70"/>
    </row>
    <row r="41" spans="1:4" ht="16.5">
      <c r="A41" s="69">
        <v>3</v>
      </c>
      <c r="B41" s="72" t="s">
        <v>464</v>
      </c>
      <c r="C41" s="70">
        <f>D41*1.25</f>
        <v>2996</v>
      </c>
      <c r="D41" s="70">
        <f>2240*1.07</f>
        <v>2396.8</v>
      </c>
    </row>
    <row r="42" spans="1:4" ht="16.5">
      <c r="A42" s="69">
        <v>4</v>
      </c>
      <c r="B42" s="72" t="s">
        <v>465</v>
      </c>
      <c r="C42" s="70">
        <f>D42*1.25</f>
        <v>2317.8875000000003</v>
      </c>
      <c r="D42" s="70">
        <f>1733*1.07</f>
        <v>1854.3100000000002</v>
      </c>
    </row>
    <row r="43" spans="1:4" ht="16.5">
      <c r="A43" s="69"/>
      <c r="B43" s="71" t="s">
        <v>232</v>
      </c>
      <c r="C43" s="70"/>
      <c r="D43" s="70"/>
    </row>
    <row r="44" spans="1:4" ht="16.5">
      <c r="A44" s="69">
        <v>1</v>
      </c>
      <c r="B44" s="72" t="s">
        <v>574</v>
      </c>
      <c r="C44" s="70">
        <f>D44*1.25</f>
        <v>579.1375</v>
      </c>
      <c r="D44" s="70">
        <f>433*1.07</f>
        <v>463.31</v>
      </c>
    </row>
    <row r="45" spans="1:4" ht="16.5">
      <c r="A45" s="69">
        <v>2</v>
      </c>
      <c r="B45" s="72" t="s">
        <v>233</v>
      </c>
      <c r="C45" s="70">
        <f>D45*1.25</f>
        <v>461.43750000000006</v>
      </c>
      <c r="D45" s="70">
        <f>345*1.07</f>
        <v>369.15000000000003</v>
      </c>
    </row>
    <row r="46" spans="1:4" ht="16.5">
      <c r="A46" s="69">
        <v>3</v>
      </c>
      <c r="B46" s="72" t="s">
        <v>234</v>
      </c>
      <c r="C46" s="70">
        <v>475</v>
      </c>
      <c r="D46" s="70">
        <f>426*1.07</f>
        <v>455.82000000000005</v>
      </c>
    </row>
    <row r="47" spans="1:4" ht="16.5">
      <c r="A47" s="69">
        <v>4</v>
      </c>
      <c r="B47" s="72" t="s">
        <v>573</v>
      </c>
      <c r="C47" s="70">
        <v>489</v>
      </c>
      <c r="D47" s="70">
        <f>438*1.07</f>
        <v>468.66</v>
      </c>
    </row>
    <row r="48" spans="1:4" ht="16.5">
      <c r="A48" s="69">
        <v>5</v>
      </c>
      <c r="B48" s="72" t="s">
        <v>235</v>
      </c>
      <c r="C48" s="70">
        <f aca="true" t="shared" si="1" ref="C48:C55">D48*1.25</f>
        <v>433.35</v>
      </c>
      <c r="D48" s="70">
        <f>324*1.07</f>
        <v>346.68</v>
      </c>
    </row>
    <row r="49" spans="1:4" ht="16.5">
      <c r="A49" s="69">
        <v>6</v>
      </c>
      <c r="B49" s="72" t="s">
        <v>236</v>
      </c>
      <c r="C49" s="70">
        <f t="shared" si="1"/>
        <v>345.075</v>
      </c>
      <c r="D49" s="70">
        <f>258*1.07</f>
        <v>276.06</v>
      </c>
    </row>
    <row r="50" spans="1:4" ht="16.5">
      <c r="A50" s="69">
        <v>7</v>
      </c>
      <c r="B50" s="72" t="s">
        <v>571</v>
      </c>
      <c r="C50" s="70">
        <f t="shared" si="1"/>
        <v>500.225</v>
      </c>
      <c r="D50" s="70">
        <f>374*1.07</f>
        <v>400.18</v>
      </c>
    </row>
    <row r="51" spans="1:4" ht="16.5">
      <c r="A51" s="69">
        <v>8</v>
      </c>
      <c r="B51" s="72" t="s">
        <v>576</v>
      </c>
      <c r="C51" s="70">
        <f t="shared" si="1"/>
        <v>350.42500000000007</v>
      </c>
      <c r="D51" s="70">
        <f>262*1.07</f>
        <v>280.34000000000003</v>
      </c>
    </row>
    <row r="52" spans="1:4" ht="16.5">
      <c r="A52" s="69">
        <v>9</v>
      </c>
      <c r="B52" s="73" t="s">
        <v>237</v>
      </c>
      <c r="C52" s="70">
        <v>616</v>
      </c>
      <c r="D52" s="70">
        <f>551*1.07</f>
        <v>589.57</v>
      </c>
    </row>
    <row r="53" spans="1:4" ht="16.5">
      <c r="A53" s="69">
        <v>10</v>
      </c>
      <c r="B53" s="73" t="s">
        <v>238</v>
      </c>
      <c r="C53" s="70">
        <f t="shared" si="1"/>
        <v>675.4375</v>
      </c>
      <c r="D53" s="70">
        <f>505*1.07</f>
        <v>540.35</v>
      </c>
    </row>
    <row r="54" spans="1:4" ht="16.5">
      <c r="A54" s="69">
        <v>11</v>
      </c>
      <c r="B54" s="73" t="s">
        <v>575</v>
      </c>
      <c r="C54" s="70">
        <f t="shared" si="1"/>
        <v>632.6375</v>
      </c>
      <c r="D54" s="70">
        <f>473*1.07</f>
        <v>506.11</v>
      </c>
    </row>
    <row r="55" spans="1:4" ht="16.5">
      <c r="A55" s="69">
        <v>12</v>
      </c>
      <c r="B55" s="73" t="s">
        <v>572</v>
      </c>
      <c r="C55" s="70">
        <f t="shared" si="1"/>
        <v>607.225</v>
      </c>
      <c r="D55" s="70">
        <f>454*1.07</f>
        <v>485.78000000000003</v>
      </c>
    </row>
    <row r="56" spans="1:4" ht="18.75">
      <c r="A56" s="18"/>
      <c r="B56" s="3"/>
      <c r="C56" s="67"/>
      <c r="D56" s="67"/>
    </row>
    <row r="57" spans="1:4" ht="18.75">
      <c r="A57" s="18"/>
      <c r="B57" s="3"/>
      <c r="C57" s="67"/>
      <c r="D57" s="67"/>
    </row>
    <row r="58" spans="1:4" ht="18.75">
      <c r="A58" s="18"/>
      <c r="B58" s="3"/>
      <c r="C58" s="67"/>
      <c r="D58" s="67"/>
    </row>
    <row r="59" spans="1:4" ht="18.75">
      <c r="A59" s="18"/>
      <c r="B59" s="3"/>
      <c r="C59" s="67"/>
      <c r="D59" s="67"/>
    </row>
    <row r="60" spans="1:4" ht="18.75">
      <c r="A60" s="18"/>
      <c r="B60" s="3"/>
      <c r="C60" s="67"/>
      <c r="D60" s="67"/>
    </row>
    <row r="61" spans="2:4" ht="18.75">
      <c r="B61" s="3"/>
      <c r="C61" s="67"/>
      <c r="D61" s="67"/>
    </row>
    <row r="62" spans="2:4" ht="18.75">
      <c r="B62" s="4"/>
      <c r="C62" s="67"/>
      <c r="D62" s="67"/>
    </row>
    <row r="63" spans="2:4" ht="18.75">
      <c r="B63" s="3"/>
      <c r="C63" s="67"/>
      <c r="D63" s="67"/>
    </row>
    <row r="64" spans="2:4" ht="18.75">
      <c r="B64" s="3"/>
      <c r="C64" s="67"/>
      <c r="D64" s="67"/>
    </row>
    <row r="65" spans="2:4" ht="18.75">
      <c r="B65" s="3"/>
      <c r="C65" s="67"/>
      <c r="D65" s="67"/>
    </row>
    <row r="66" spans="2:5" ht="18.75" customHeight="1">
      <c r="B66" s="3"/>
      <c r="C66" s="67"/>
      <c r="D66" s="78"/>
      <c r="E66" s="78"/>
    </row>
    <row r="67" spans="2:4" ht="18.75">
      <c r="B67" s="3"/>
      <c r="C67" s="67"/>
      <c r="D67" s="67"/>
    </row>
    <row r="68" spans="2:4" ht="18.75">
      <c r="B68" s="3"/>
      <c r="C68" s="67"/>
      <c r="D68" s="67"/>
    </row>
    <row r="69" spans="2:5" ht="18.75" customHeight="1">
      <c r="B69" s="3"/>
      <c r="C69" s="67"/>
      <c r="D69" s="78"/>
      <c r="E69" s="78"/>
    </row>
    <row r="70" spans="2:5" ht="18.75">
      <c r="B70" s="3"/>
      <c r="C70" s="67"/>
      <c r="D70" s="67"/>
      <c r="E70" s="17"/>
    </row>
    <row r="71" spans="2:4" ht="18.75">
      <c r="B71" s="3"/>
      <c r="C71" s="67"/>
      <c r="D71" s="67"/>
    </row>
    <row r="72" spans="2:6" ht="18.75" customHeight="1">
      <c r="B72" s="3"/>
      <c r="C72" s="67"/>
      <c r="D72" s="78"/>
      <c r="E72" s="78"/>
      <c r="F72" s="78"/>
    </row>
    <row r="73" spans="2:5" ht="18.75">
      <c r="B73" s="3"/>
      <c r="C73" s="77"/>
      <c r="D73" s="77"/>
      <c r="E73" s="77"/>
    </row>
    <row r="74" spans="2:4" ht="18.75">
      <c r="B74" s="3"/>
      <c r="C74" s="67"/>
      <c r="D74" s="67"/>
    </row>
    <row r="75" spans="2:4" ht="18.75">
      <c r="B75" s="3"/>
      <c r="C75" s="67"/>
      <c r="D75" s="67"/>
    </row>
  </sheetData>
  <sheetProtection/>
  <mergeCells count="5">
    <mergeCell ref="A1:D1"/>
    <mergeCell ref="C73:E73"/>
    <mergeCell ref="D66:E66"/>
    <mergeCell ref="D69:E69"/>
    <mergeCell ref="D72:F72"/>
  </mergeCells>
  <printOptions/>
  <pageMargins left="1.01" right="0.34" top="0.37" bottom="0.3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780"/>
  <sheetViews>
    <sheetView tabSelected="1" view="pageBreakPreview" zoomScale="55" zoomScaleNormal="75" zoomScaleSheetLayoutView="55" zoomScalePageLayoutView="25" workbookViewId="0" topLeftCell="A645">
      <selection activeCell="D671" sqref="D671"/>
    </sheetView>
  </sheetViews>
  <sheetFormatPr defaultColWidth="9.00390625" defaultRowHeight="12.75"/>
  <cols>
    <col min="1" max="1" width="11.875" style="41" customWidth="1"/>
    <col min="2" max="2" width="108.375" style="6" customWidth="1"/>
    <col min="3" max="3" width="25.375" style="65" customWidth="1"/>
    <col min="4" max="4" width="25.75390625" style="66" customWidth="1"/>
    <col min="5" max="16384" width="9.125" style="6" customWidth="1"/>
  </cols>
  <sheetData>
    <row r="1" spans="1:4" ht="25.5" customHeight="1">
      <c r="A1" s="38" t="s">
        <v>599</v>
      </c>
      <c r="B1" s="5"/>
      <c r="C1" s="86" t="s">
        <v>504</v>
      </c>
      <c r="D1" s="86"/>
    </row>
    <row r="2" spans="1:4" ht="33" customHeight="1">
      <c r="A2" s="38"/>
      <c r="B2" s="5"/>
      <c r="C2" s="87" t="s">
        <v>752</v>
      </c>
      <c r="D2" s="87"/>
    </row>
    <row r="3" spans="1:4" ht="39" customHeight="1">
      <c r="A3" s="38"/>
      <c r="B3" s="5"/>
      <c r="C3" s="88" t="s">
        <v>750</v>
      </c>
      <c r="D3" s="88"/>
    </row>
    <row r="4" spans="1:4" ht="53.25" customHeight="1">
      <c r="A4" s="38"/>
      <c r="B4" s="85" t="s">
        <v>749</v>
      </c>
      <c r="C4" s="85"/>
      <c r="D4" s="85"/>
    </row>
    <row r="5" spans="1:4" ht="51.75" customHeight="1">
      <c r="A5" s="36"/>
      <c r="B5" s="15" t="s">
        <v>292</v>
      </c>
      <c r="C5" s="14" t="s">
        <v>563</v>
      </c>
      <c r="D5" s="19" t="s">
        <v>564</v>
      </c>
    </row>
    <row r="6" spans="1:4" ht="27.75">
      <c r="A6" s="36"/>
      <c r="B6" s="37" t="s">
        <v>293</v>
      </c>
      <c r="C6" s="49"/>
      <c r="D6" s="50"/>
    </row>
    <row r="7" spans="1:4" ht="28.5" customHeight="1">
      <c r="A7" s="39">
        <v>1</v>
      </c>
      <c r="B7" s="21" t="s">
        <v>240</v>
      </c>
      <c r="C7" s="49">
        <f>SUM(D7*1.25)</f>
        <v>712.8875</v>
      </c>
      <c r="D7" s="50">
        <f>533*1.07</f>
        <v>570.3100000000001</v>
      </c>
    </row>
    <row r="8" spans="1:4" ht="27.75">
      <c r="A8" s="36">
        <v>2</v>
      </c>
      <c r="B8" s="21" t="s">
        <v>241</v>
      </c>
      <c r="C8" s="49">
        <f aca="true" t="shared" si="0" ref="C8:C52">SUM(D8*1.25)</f>
        <v>236.7375</v>
      </c>
      <c r="D8" s="50">
        <f>177*1.07</f>
        <v>189.39000000000001</v>
      </c>
    </row>
    <row r="9" spans="1:4" ht="30" customHeight="1">
      <c r="A9" s="36">
        <v>3</v>
      </c>
      <c r="B9" s="21" t="s">
        <v>242</v>
      </c>
      <c r="C9" s="49">
        <f t="shared" si="0"/>
        <v>712.8875</v>
      </c>
      <c r="D9" s="50">
        <f>533*1.07</f>
        <v>570.3100000000001</v>
      </c>
    </row>
    <row r="10" spans="1:4" ht="27.75">
      <c r="A10" s="36">
        <v>4</v>
      </c>
      <c r="B10" s="21" t="s">
        <v>243</v>
      </c>
      <c r="C10" s="49">
        <f t="shared" si="0"/>
        <v>236.7375</v>
      </c>
      <c r="D10" s="50">
        <f>177*1.07</f>
        <v>189.39000000000001</v>
      </c>
    </row>
    <row r="11" spans="1:4" ht="27.75">
      <c r="A11" s="36">
        <v>5</v>
      </c>
      <c r="B11" s="21" t="s">
        <v>244</v>
      </c>
      <c r="C11" s="49">
        <f>SUM(D11*1.25)</f>
        <v>236.7375</v>
      </c>
      <c r="D11" s="50">
        <f>177*1.07</f>
        <v>189.39000000000001</v>
      </c>
    </row>
    <row r="12" spans="1:4" ht="27.75">
      <c r="A12" s="36">
        <v>6</v>
      </c>
      <c r="B12" s="21" t="s">
        <v>245</v>
      </c>
      <c r="C12" s="49">
        <f t="shared" si="0"/>
        <v>236.7375</v>
      </c>
      <c r="D12" s="50">
        <f>177*1.07</f>
        <v>189.39000000000001</v>
      </c>
    </row>
    <row r="13" spans="1:4" ht="31.5" customHeight="1">
      <c r="A13" s="36">
        <v>7</v>
      </c>
      <c r="B13" s="21" t="s">
        <v>246</v>
      </c>
      <c r="C13" s="49">
        <f t="shared" si="0"/>
        <v>177.8875</v>
      </c>
      <c r="D13" s="50">
        <f>133*1.07</f>
        <v>142.31</v>
      </c>
    </row>
    <row r="14" spans="1:4" ht="54.75" customHeight="1">
      <c r="A14" s="36">
        <v>8</v>
      </c>
      <c r="B14" s="21" t="s">
        <v>294</v>
      </c>
      <c r="C14" s="49">
        <f t="shared" si="0"/>
        <v>296.925</v>
      </c>
      <c r="D14" s="50">
        <f>222*1.07</f>
        <v>237.54000000000002</v>
      </c>
    </row>
    <row r="15" spans="1:4" ht="30.75" customHeight="1">
      <c r="A15" s="36">
        <v>9</v>
      </c>
      <c r="B15" s="21" t="s">
        <v>247</v>
      </c>
      <c r="C15" s="49">
        <f t="shared" si="0"/>
        <v>357.1125</v>
      </c>
      <c r="D15" s="50">
        <f>267*1.07</f>
        <v>285.69</v>
      </c>
    </row>
    <row r="16" spans="1:4" ht="30" customHeight="1">
      <c r="A16" s="36">
        <v>10</v>
      </c>
      <c r="B16" s="21" t="s">
        <v>291</v>
      </c>
      <c r="C16" s="49">
        <f t="shared" si="0"/>
        <v>357.1125</v>
      </c>
      <c r="D16" s="50">
        <f>267*1.07</f>
        <v>285.69</v>
      </c>
    </row>
    <row r="17" spans="1:4" ht="27.75">
      <c r="A17" s="36">
        <v>11</v>
      </c>
      <c r="B17" s="21" t="s">
        <v>248</v>
      </c>
      <c r="C17" s="49">
        <f t="shared" si="0"/>
        <v>236.7375</v>
      </c>
      <c r="D17" s="50">
        <f>177*1.07</f>
        <v>189.39000000000001</v>
      </c>
    </row>
    <row r="18" spans="1:4" ht="27.75">
      <c r="A18" s="36">
        <v>12</v>
      </c>
      <c r="B18" s="21" t="s">
        <v>295</v>
      </c>
      <c r="C18" s="49">
        <f t="shared" si="0"/>
        <v>236.7375</v>
      </c>
      <c r="D18" s="50">
        <f>177*1.07</f>
        <v>189.39000000000001</v>
      </c>
    </row>
    <row r="19" spans="1:4" ht="27.75">
      <c r="A19" s="36">
        <v>13</v>
      </c>
      <c r="B19" s="21" t="s">
        <v>296</v>
      </c>
      <c r="C19" s="49">
        <f t="shared" si="0"/>
        <v>236.7375</v>
      </c>
      <c r="D19" s="50">
        <f>177*1.07</f>
        <v>189.39000000000001</v>
      </c>
    </row>
    <row r="20" spans="1:4" ht="27.75">
      <c r="A20" s="36">
        <v>14</v>
      </c>
      <c r="B20" s="21" t="s">
        <v>249</v>
      </c>
      <c r="C20" s="49">
        <f t="shared" si="0"/>
        <v>177.8875</v>
      </c>
      <c r="D20" s="50">
        <f>133*1.07</f>
        <v>142.31</v>
      </c>
    </row>
    <row r="21" spans="1:4" ht="27.75">
      <c r="A21" s="36">
        <v>15</v>
      </c>
      <c r="B21" s="21" t="s">
        <v>297</v>
      </c>
      <c r="C21" s="49">
        <f t="shared" si="0"/>
        <v>236.7375</v>
      </c>
      <c r="D21" s="50">
        <f>177*1.07</f>
        <v>189.39000000000001</v>
      </c>
    </row>
    <row r="22" spans="1:4" ht="27.75">
      <c r="A22" s="36">
        <v>16</v>
      </c>
      <c r="B22" s="21" t="s">
        <v>298</v>
      </c>
      <c r="C22" s="49">
        <f t="shared" si="0"/>
        <v>236.7375</v>
      </c>
      <c r="D22" s="50">
        <f>177*1.07</f>
        <v>189.39000000000001</v>
      </c>
    </row>
    <row r="23" spans="1:4" ht="27.75">
      <c r="A23" s="36">
        <v>17</v>
      </c>
      <c r="B23" s="21" t="s">
        <v>299</v>
      </c>
      <c r="C23" s="49">
        <f t="shared" si="0"/>
        <v>236.7375</v>
      </c>
      <c r="D23" s="50">
        <f>177*1.07</f>
        <v>189.39000000000001</v>
      </c>
    </row>
    <row r="24" spans="1:7" ht="30.75" customHeight="1">
      <c r="A24" s="36">
        <v>18</v>
      </c>
      <c r="B24" s="21" t="s">
        <v>300</v>
      </c>
      <c r="C24" s="49">
        <f t="shared" si="0"/>
        <v>236.7375</v>
      </c>
      <c r="D24" s="50">
        <f>177*1.07</f>
        <v>189.39000000000001</v>
      </c>
      <c r="G24" s="6" t="s">
        <v>599</v>
      </c>
    </row>
    <row r="25" spans="1:4" ht="52.5" customHeight="1">
      <c r="A25" s="36">
        <v>19</v>
      </c>
      <c r="B25" s="21" t="s">
        <v>301</v>
      </c>
      <c r="C25" s="49">
        <f t="shared" si="0"/>
        <v>736.9625000000001</v>
      </c>
      <c r="D25" s="50">
        <f>551*1.07</f>
        <v>589.57</v>
      </c>
    </row>
    <row r="26" spans="1:4" ht="31.5" customHeight="1">
      <c r="A26" s="36">
        <v>20</v>
      </c>
      <c r="B26" s="35" t="s">
        <v>565</v>
      </c>
      <c r="C26" s="49">
        <f t="shared" si="0"/>
        <v>712.8875</v>
      </c>
      <c r="D26" s="50">
        <f>533*1.07</f>
        <v>570.3100000000001</v>
      </c>
    </row>
    <row r="27" spans="1:4" ht="31.5" customHeight="1">
      <c r="A27" s="36">
        <v>21</v>
      </c>
      <c r="B27" s="21" t="s">
        <v>566</v>
      </c>
      <c r="C27" s="49">
        <f>SUM(D27*1.25)</f>
        <v>236.7375</v>
      </c>
      <c r="D27" s="50">
        <f>177*1.07</f>
        <v>189.39000000000001</v>
      </c>
    </row>
    <row r="28" spans="1:4" ht="27" customHeight="1">
      <c r="A28" s="36">
        <v>22</v>
      </c>
      <c r="B28" s="21" t="s">
        <v>695</v>
      </c>
      <c r="C28" s="49">
        <f>SUM(D28*1.25)</f>
        <v>236.7375</v>
      </c>
      <c r="D28" s="50">
        <f>177*1.07</f>
        <v>189.39000000000001</v>
      </c>
    </row>
    <row r="29" spans="1:4" ht="31.5" customHeight="1">
      <c r="A29" s="36">
        <v>23</v>
      </c>
      <c r="B29" s="21" t="s">
        <v>696</v>
      </c>
      <c r="C29" s="49">
        <f>SUM(D29*1.25)</f>
        <v>296.925</v>
      </c>
      <c r="D29" s="50">
        <f>222*1.07</f>
        <v>237.54000000000002</v>
      </c>
    </row>
    <row r="30" spans="1:4" ht="28.5" customHeight="1">
      <c r="A30" s="36">
        <v>24</v>
      </c>
      <c r="B30" s="21" t="s">
        <v>701</v>
      </c>
      <c r="C30" s="49">
        <v>150</v>
      </c>
      <c r="D30" s="50">
        <f>134*1.07</f>
        <v>143.38</v>
      </c>
    </row>
    <row r="31" spans="1:4" ht="27.75">
      <c r="A31" s="36"/>
      <c r="B31" s="20" t="s">
        <v>250</v>
      </c>
      <c r="C31" s="49"/>
      <c r="D31" s="50"/>
    </row>
    <row r="32" spans="1:4" ht="27" customHeight="1">
      <c r="A32" s="36">
        <v>25</v>
      </c>
      <c r="B32" s="21" t="s">
        <v>302</v>
      </c>
      <c r="C32" s="49">
        <f>SUM(D32*1.25)</f>
        <v>663.4000000000001</v>
      </c>
      <c r="D32" s="50">
        <f>496*1.07</f>
        <v>530.72</v>
      </c>
    </row>
    <row r="33" spans="1:4" ht="30.75" customHeight="1">
      <c r="A33" s="36">
        <v>26</v>
      </c>
      <c r="B33" s="21" t="s">
        <v>251</v>
      </c>
      <c r="C33" s="49">
        <f t="shared" si="0"/>
        <v>441.375</v>
      </c>
      <c r="D33" s="50">
        <f>330*1.07</f>
        <v>353.1</v>
      </c>
    </row>
    <row r="34" spans="1:4" ht="56.25" customHeight="1">
      <c r="A34" s="36">
        <v>27</v>
      </c>
      <c r="B34" s="21" t="s">
        <v>252</v>
      </c>
      <c r="C34" s="49">
        <f t="shared" si="0"/>
        <v>398.57500000000005</v>
      </c>
      <c r="D34" s="50">
        <f>298*1.07</f>
        <v>318.86</v>
      </c>
    </row>
    <row r="35" spans="1:4" ht="82.5" customHeight="1">
      <c r="A35" s="36">
        <v>28</v>
      </c>
      <c r="B35" s="21" t="s">
        <v>303</v>
      </c>
      <c r="C35" s="49">
        <v>859</v>
      </c>
      <c r="D35" s="50">
        <f>771*1.07</f>
        <v>824.97</v>
      </c>
    </row>
    <row r="36" spans="1:4" ht="27.75">
      <c r="A36" s="36"/>
      <c r="B36" s="20" t="s">
        <v>304</v>
      </c>
      <c r="C36" s="49"/>
      <c r="D36" s="50"/>
    </row>
    <row r="37" spans="1:4" ht="27.75">
      <c r="A37" s="36">
        <v>29</v>
      </c>
      <c r="B37" s="21" t="s">
        <v>241</v>
      </c>
      <c r="C37" s="49">
        <f>SUM(D37*1.25)</f>
        <v>260.8125</v>
      </c>
      <c r="D37" s="50">
        <f>195*1.07</f>
        <v>208.65</v>
      </c>
    </row>
    <row r="38" spans="1:4" ht="30.75" customHeight="1">
      <c r="A38" s="36">
        <v>30</v>
      </c>
      <c r="B38" s="21" t="s">
        <v>242</v>
      </c>
      <c r="C38" s="49">
        <f t="shared" si="0"/>
        <v>785.1125000000001</v>
      </c>
      <c r="D38" s="50">
        <f>587*1.07</f>
        <v>628.09</v>
      </c>
    </row>
    <row r="39" spans="1:4" ht="32.25" customHeight="1">
      <c r="A39" s="36">
        <v>31</v>
      </c>
      <c r="B39" s="21" t="s">
        <v>305</v>
      </c>
      <c r="C39" s="49">
        <f t="shared" si="0"/>
        <v>690.15</v>
      </c>
      <c r="D39" s="50">
        <f>516*1.07</f>
        <v>552.12</v>
      </c>
    </row>
    <row r="40" spans="1:4" ht="27.75">
      <c r="A40" s="36">
        <v>32</v>
      </c>
      <c r="B40" s="21" t="s">
        <v>243</v>
      </c>
      <c r="C40" s="49">
        <f t="shared" si="0"/>
        <v>260.8125</v>
      </c>
      <c r="D40" s="50">
        <f>195*1.07</f>
        <v>208.65</v>
      </c>
    </row>
    <row r="41" spans="1:4" ht="27.75">
      <c r="A41" s="36">
        <v>33</v>
      </c>
      <c r="B41" s="21" t="s">
        <v>245</v>
      </c>
      <c r="C41" s="49">
        <f t="shared" si="0"/>
        <v>260.8125</v>
      </c>
      <c r="D41" s="50">
        <f>195*1.07</f>
        <v>208.65</v>
      </c>
    </row>
    <row r="42" spans="1:4" ht="34.5" customHeight="1">
      <c r="A42" s="36">
        <v>34</v>
      </c>
      <c r="B42" s="21" t="s">
        <v>306</v>
      </c>
      <c r="C42" s="49">
        <f t="shared" si="0"/>
        <v>482.83750000000003</v>
      </c>
      <c r="D42" s="50">
        <f>361*1.07</f>
        <v>386.27000000000004</v>
      </c>
    </row>
    <row r="43" spans="1:4" ht="31.5" customHeight="1">
      <c r="A43" s="36">
        <v>35</v>
      </c>
      <c r="B43" s="21" t="s">
        <v>254</v>
      </c>
      <c r="C43" s="49">
        <f t="shared" si="0"/>
        <v>326.35</v>
      </c>
      <c r="D43" s="50">
        <f>244*1.07</f>
        <v>261.08000000000004</v>
      </c>
    </row>
    <row r="44" spans="1:4" ht="28.5" customHeight="1">
      <c r="A44" s="36"/>
      <c r="B44" s="37" t="s">
        <v>307</v>
      </c>
      <c r="C44" s="49"/>
      <c r="D44" s="50"/>
    </row>
    <row r="45" spans="1:4" ht="27.75">
      <c r="A45" s="36">
        <v>1</v>
      </c>
      <c r="B45" s="21" t="s">
        <v>308</v>
      </c>
      <c r="C45" s="49">
        <f t="shared" si="0"/>
        <v>192.60000000000002</v>
      </c>
      <c r="D45" s="50">
        <f>144*1.07</f>
        <v>154.08</v>
      </c>
    </row>
    <row r="46" spans="1:4" ht="30" customHeight="1">
      <c r="A46" s="36">
        <v>2</v>
      </c>
      <c r="B46" s="21" t="s">
        <v>309</v>
      </c>
      <c r="C46" s="49">
        <f t="shared" si="0"/>
        <v>0</v>
      </c>
      <c r="D46" s="50"/>
    </row>
    <row r="47" spans="1:4" ht="27.75">
      <c r="A47" s="36">
        <v>3</v>
      </c>
      <c r="B47" s="21" t="s">
        <v>310</v>
      </c>
      <c r="C47" s="49">
        <f t="shared" si="0"/>
        <v>86.9375</v>
      </c>
      <c r="D47" s="50">
        <f>65*1.07</f>
        <v>69.55</v>
      </c>
    </row>
    <row r="48" spans="1:4" ht="27.75">
      <c r="A48" s="36">
        <v>4</v>
      </c>
      <c r="B48" s="21" t="s">
        <v>311</v>
      </c>
      <c r="C48" s="49">
        <f t="shared" si="0"/>
        <v>86.9375</v>
      </c>
      <c r="D48" s="50">
        <f>65*1.07</f>
        <v>69.55</v>
      </c>
    </row>
    <row r="49" spans="1:4" ht="27.75">
      <c r="A49" s="36">
        <v>5</v>
      </c>
      <c r="B49" s="21" t="s">
        <v>312</v>
      </c>
      <c r="C49" s="49">
        <f t="shared" si="0"/>
        <v>90.95</v>
      </c>
      <c r="D49" s="50">
        <f>68*1.07</f>
        <v>72.76</v>
      </c>
    </row>
    <row r="50" spans="1:4" ht="27.75">
      <c r="A50" s="36">
        <v>6</v>
      </c>
      <c r="B50" s="21" t="s">
        <v>313</v>
      </c>
      <c r="C50" s="49">
        <f t="shared" si="0"/>
        <v>120.37500000000001</v>
      </c>
      <c r="D50" s="50">
        <f>90*1.07</f>
        <v>96.30000000000001</v>
      </c>
    </row>
    <row r="51" spans="1:4" ht="27.75">
      <c r="A51" s="36">
        <v>7</v>
      </c>
      <c r="B51" s="21" t="s">
        <v>314</v>
      </c>
      <c r="C51" s="49">
        <f t="shared" si="0"/>
        <v>120.37500000000001</v>
      </c>
      <c r="D51" s="50">
        <f>90*1.07</f>
        <v>96.30000000000001</v>
      </c>
    </row>
    <row r="52" spans="1:4" ht="27.75">
      <c r="A52" s="36">
        <v>8</v>
      </c>
      <c r="B52" s="21" t="s">
        <v>315</v>
      </c>
      <c r="C52" s="49">
        <f t="shared" si="0"/>
        <v>120.37500000000001</v>
      </c>
      <c r="D52" s="50">
        <f>90*1.07</f>
        <v>96.30000000000001</v>
      </c>
    </row>
    <row r="53" spans="1:4" ht="27.75">
      <c r="A53" s="36">
        <v>9</v>
      </c>
      <c r="B53" s="21" t="s">
        <v>316</v>
      </c>
      <c r="C53" s="49">
        <f>SUM(D53*1.25)</f>
        <v>88.275</v>
      </c>
      <c r="D53" s="50">
        <f>66*1.07</f>
        <v>70.62</v>
      </c>
    </row>
    <row r="54" spans="1:4" ht="27.75">
      <c r="A54" s="36">
        <v>10</v>
      </c>
      <c r="B54" s="21" t="s">
        <v>317</v>
      </c>
      <c r="C54" s="49">
        <f>SUM(D54*1.25)</f>
        <v>300.9375</v>
      </c>
      <c r="D54" s="50">
        <f>225*1.07</f>
        <v>240.75</v>
      </c>
    </row>
    <row r="55" spans="1:4" ht="27.75">
      <c r="A55" s="36">
        <v>11</v>
      </c>
      <c r="B55" s="21" t="s">
        <v>318</v>
      </c>
      <c r="C55" s="49">
        <f aca="true" t="shared" si="1" ref="C55:C85">SUM(D55*1.25)</f>
        <v>96.30000000000001</v>
      </c>
      <c r="D55" s="50">
        <f>72*1.07</f>
        <v>77.04</v>
      </c>
    </row>
    <row r="56" spans="1:4" ht="27.75">
      <c r="A56" s="36">
        <v>12</v>
      </c>
      <c r="B56" s="21" t="s">
        <v>319</v>
      </c>
      <c r="C56" s="49">
        <f t="shared" si="1"/>
        <v>96.30000000000001</v>
      </c>
      <c r="D56" s="50">
        <f>72*1.07</f>
        <v>77.04</v>
      </c>
    </row>
    <row r="57" spans="1:4" ht="27.75">
      <c r="A57" s="36">
        <v>13</v>
      </c>
      <c r="B57" s="21" t="s">
        <v>320</v>
      </c>
      <c r="C57" s="49">
        <f t="shared" si="1"/>
        <v>96.30000000000001</v>
      </c>
      <c r="D57" s="50">
        <f aca="true" t="shared" si="2" ref="D57:D66">72*1.07</f>
        <v>77.04</v>
      </c>
    </row>
    <row r="58" spans="1:4" ht="27.75">
      <c r="A58" s="36">
        <v>14</v>
      </c>
      <c r="B58" s="21" t="s">
        <v>321</v>
      </c>
      <c r="C58" s="49">
        <f t="shared" si="1"/>
        <v>96.30000000000001</v>
      </c>
      <c r="D58" s="50">
        <f t="shared" si="2"/>
        <v>77.04</v>
      </c>
    </row>
    <row r="59" spans="1:4" ht="27.75">
      <c r="A59" s="36">
        <v>15</v>
      </c>
      <c r="B59" s="21" t="s">
        <v>322</v>
      </c>
      <c r="C59" s="49">
        <f t="shared" si="1"/>
        <v>96.30000000000001</v>
      </c>
      <c r="D59" s="50">
        <f t="shared" si="2"/>
        <v>77.04</v>
      </c>
    </row>
    <row r="60" spans="1:4" ht="27.75">
      <c r="A60" s="36">
        <v>16</v>
      </c>
      <c r="B60" s="21" t="s">
        <v>323</v>
      </c>
      <c r="C60" s="49">
        <f t="shared" si="1"/>
        <v>96.30000000000001</v>
      </c>
      <c r="D60" s="50">
        <f t="shared" si="2"/>
        <v>77.04</v>
      </c>
    </row>
    <row r="61" spans="1:4" ht="25.5" customHeight="1">
      <c r="A61" s="36">
        <v>17</v>
      </c>
      <c r="B61" s="21" t="s">
        <v>324</v>
      </c>
      <c r="C61" s="49">
        <f t="shared" si="1"/>
        <v>96.30000000000001</v>
      </c>
      <c r="D61" s="50">
        <f t="shared" si="2"/>
        <v>77.04</v>
      </c>
    </row>
    <row r="62" spans="1:4" ht="24" customHeight="1">
      <c r="A62" s="36">
        <v>18</v>
      </c>
      <c r="B62" s="21" t="s">
        <v>325</v>
      </c>
      <c r="C62" s="49">
        <f t="shared" si="1"/>
        <v>96.30000000000001</v>
      </c>
      <c r="D62" s="50">
        <f t="shared" si="2"/>
        <v>77.04</v>
      </c>
    </row>
    <row r="63" spans="1:4" ht="27.75" customHeight="1">
      <c r="A63" s="36">
        <v>19</v>
      </c>
      <c r="B63" s="21" t="s">
        <v>515</v>
      </c>
      <c r="C63" s="49">
        <f t="shared" si="1"/>
        <v>96.30000000000001</v>
      </c>
      <c r="D63" s="50">
        <f t="shared" si="2"/>
        <v>77.04</v>
      </c>
    </row>
    <row r="64" spans="1:4" ht="27.75">
      <c r="A64" s="36">
        <v>20</v>
      </c>
      <c r="B64" s="21" t="s">
        <v>326</v>
      </c>
      <c r="C64" s="49">
        <f t="shared" si="1"/>
        <v>96.30000000000001</v>
      </c>
      <c r="D64" s="50">
        <f t="shared" si="2"/>
        <v>77.04</v>
      </c>
    </row>
    <row r="65" spans="1:4" ht="27.75">
      <c r="A65" s="36">
        <v>21</v>
      </c>
      <c r="B65" s="21" t="s">
        <v>327</v>
      </c>
      <c r="C65" s="49">
        <f t="shared" si="1"/>
        <v>96.30000000000001</v>
      </c>
      <c r="D65" s="50">
        <f t="shared" si="2"/>
        <v>77.04</v>
      </c>
    </row>
    <row r="66" spans="1:4" ht="27.75">
      <c r="A66" s="36">
        <v>22</v>
      </c>
      <c r="B66" s="21" t="s">
        <v>328</v>
      </c>
      <c r="C66" s="49">
        <f t="shared" si="1"/>
        <v>96.30000000000001</v>
      </c>
      <c r="D66" s="50">
        <f t="shared" si="2"/>
        <v>77.04</v>
      </c>
    </row>
    <row r="67" spans="1:4" ht="27.75">
      <c r="A67" s="36">
        <v>23</v>
      </c>
      <c r="B67" s="21" t="s">
        <v>329</v>
      </c>
      <c r="C67" s="49">
        <f t="shared" si="1"/>
        <v>141.775</v>
      </c>
      <c r="D67" s="50">
        <f>106*1.07</f>
        <v>113.42</v>
      </c>
    </row>
    <row r="68" spans="1:4" ht="27.75">
      <c r="A68" s="36">
        <v>24</v>
      </c>
      <c r="B68" s="21" t="s">
        <v>330</v>
      </c>
      <c r="C68" s="49">
        <f t="shared" si="1"/>
        <v>141.775</v>
      </c>
      <c r="D68" s="50">
        <f>106*1.07</f>
        <v>113.42</v>
      </c>
    </row>
    <row r="69" spans="1:4" ht="27.75">
      <c r="A69" s="36">
        <v>25</v>
      </c>
      <c r="B69" s="21" t="s">
        <v>331</v>
      </c>
      <c r="C69" s="49">
        <f t="shared" si="1"/>
        <v>141.775</v>
      </c>
      <c r="D69" s="50">
        <f>106*1.07</f>
        <v>113.42</v>
      </c>
    </row>
    <row r="70" spans="1:4" ht="29.25" customHeight="1">
      <c r="A70" s="36">
        <v>26</v>
      </c>
      <c r="B70" s="21" t="s">
        <v>717</v>
      </c>
      <c r="C70" s="49">
        <f t="shared" si="1"/>
        <v>117.70000000000002</v>
      </c>
      <c r="D70" s="50">
        <f>88*1.07</f>
        <v>94.16000000000001</v>
      </c>
    </row>
    <row r="71" spans="1:4" ht="27.75">
      <c r="A71" s="36">
        <v>27</v>
      </c>
      <c r="B71" s="21" t="s">
        <v>332</v>
      </c>
      <c r="C71" s="49">
        <f t="shared" si="1"/>
        <v>141.775</v>
      </c>
      <c r="D71" s="50">
        <f>106*1.07</f>
        <v>113.42</v>
      </c>
    </row>
    <row r="72" spans="1:4" ht="27.75">
      <c r="A72" s="36">
        <v>28</v>
      </c>
      <c r="B72" s="21" t="s">
        <v>333</v>
      </c>
      <c r="C72" s="49">
        <f t="shared" si="1"/>
        <v>187.25</v>
      </c>
      <c r="D72" s="50">
        <f>140*1.07</f>
        <v>149.8</v>
      </c>
    </row>
    <row r="73" spans="1:4" ht="30" customHeight="1">
      <c r="A73" s="36">
        <v>29</v>
      </c>
      <c r="B73" s="21" t="s">
        <v>516</v>
      </c>
      <c r="C73" s="49">
        <f t="shared" si="1"/>
        <v>185.91250000000002</v>
      </c>
      <c r="D73" s="50">
        <f>139*1.07</f>
        <v>148.73000000000002</v>
      </c>
    </row>
    <row r="74" spans="1:4" ht="28.5" customHeight="1">
      <c r="A74" s="36">
        <v>30</v>
      </c>
      <c r="B74" s="21" t="s">
        <v>334</v>
      </c>
      <c r="C74" s="49">
        <f t="shared" si="1"/>
        <v>185.91250000000002</v>
      </c>
      <c r="D74" s="50">
        <f>139*1.07</f>
        <v>148.73000000000002</v>
      </c>
    </row>
    <row r="75" spans="1:4" ht="108.75" customHeight="1">
      <c r="A75" s="36">
        <v>31</v>
      </c>
      <c r="B75" s="21" t="s">
        <v>335</v>
      </c>
      <c r="C75" s="49">
        <f t="shared" si="1"/>
        <v>235.40000000000003</v>
      </c>
      <c r="D75" s="50">
        <f>176*1.07</f>
        <v>188.32000000000002</v>
      </c>
    </row>
    <row r="76" spans="1:4" ht="81.75" customHeight="1">
      <c r="A76" s="36">
        <v>32</v>
      </c>
      <c r="B76" s="21" t="s">
        <v>517</v>
      </c>
      <c r="C76" s="49">
        <f t="shared" si="1"/>
        <v>235.40000000000003</v>
      </c>
      <c r="D76" s="50">
        <f>176*1.07</f>
        <v>188.32000000000002</v>
      </c>
    </row>
    <row r="77" spans="1:4" ht="30" customHeight="1">
      <c r="A77" s="36">
        <v>33</v>
      </c>
      <c r="B77" s="21" t="s">
        <v>518</v>
      </c>
      <c r="C77" s="49">
        <f t="shared" si="1"/>
        <v>235.40000000000003</v>
      </c>
      <c r="D77" s="50">
        <f>176*1.07</f>
        <v>188.32000000000002</v>
      </c>
    </row>
    <row r="78" spans="1:4" ht="55.5">
      <c r="A78" s="36">
        <v>34</v>
      </c>
      <c r="B78" s="21" t="s">
        <v>336</v>
      </c>
      <c r="C78" s="49">
        <f t="shared" si="1"/>
        <v>240.75000000000003</v>
      </c>
      <c r="D78" s="50">
        <f>180*1.07</f>
        <v>192.60000000000002</v>
      </c>
    </row>
    <row r="79" spans="1:4" ht="27.75">
      <c r="A79" s="36">
        <v>35</v>
      </c>
      <c r="B79" s="21" t="s">
        <v>578</v>
      </c>
      <c r="C79" s="49">
        <f t="shared" si="1"/>
        <v>135.0875</v>
      </c>
      <c r="D79" s="50">
        <f>101*1.07</f>
        <v>108.07000000000001</v>
      </c>
    </row>
    <row r="80" spans="1:4" ht="26.25" customHeight="1">
      <c r="A80" s="36">
        <v>36</v>
      </c>
      <c r="B80" s="21" t="s">
        <v>579</v>
      </c>
      <c r="C80" s="49">
        <f t="shared" si="1"/>
        <v>133.75</v>
      </c>
      <c r="D80" s="50">
        <f>100*1.07</f>
        <v>107</v>
      </c>
    </row>
    <row r="81" spans="1:4" ht="31.5" customHeight="1">
      <c r="A81" s="36">
        <v>37</v>
      </c>
      <c r="B81" s="21" t="s">
        <v>580</v>
      </c>
      <c r="C81" s="49">
        <f t="shared" si="1"/>
        <v>133.75</v>
      </c>
      <c r="D81" s="50">
        <f>100*1.07</f>
        <v>107</v>
      </c>
    </row>
    <row r="82" spans="1:4" ht="31.5" customHeight="1">
      <c r="A82" s="36">
        <v>38</v>
      </c>
      <c r="B82" s="21" t="s">
        <v>598</v>
      </c>
      <c r="C82" s="49">
        <f t="shared" si="1"/>
        <v>137.76250000000002</v>
      </c>
      <c r="D82" s="50">
        <f>103*1.07</f>
        <v>110.21000000000001</v>
      </c>
    </row>
    <row r="83" spans="1:4" ht="30.75" customHeight="1">
      <c r="A83" s="36">
        <v>39</v>
      </c>
      <c r="B83" s="21" t="s">
        <v>581</v>
      </c>
      <c r="C83" s="49">
        <f t="shared" si="1"/>
        <v>133.75</v>
      </c>
      <c r="D83" s="50">
        <f>100*1.07</f>
        <v>107</v>
      </c>
    </row>
    <row r="84" spans="1:4" ht="27.75" customHeight="1">
      <c r="A84" s="36">
        <v>40</v>
      </c>
      <c r="B84" s="21" t="s">
        <v>582</v>
      </c>
      <c r="C84" s="49">
        <f t="shared" si="1"/>
        <v>133.75</v>
      </c>
      <c r="D84" s="50">
        <f>100*1.07</f>
        <v>107</v>
      </c>
    </row>
    <row r="85" spans="1:4" ht="27.75" customHeight="1">
      <c r="A85" s="36">
        <v>41</v>
      </c>
      <c r="B85" s="21" t="s">
        <v>583</v>
      </c>
      <c r="C85" s="49">
        <f t="shared" si="1"/>
        <v>137.76250000000002</v>
      </c>
      <c r="D85" s="50">
        <f>103*1.07</f>
        <v>110.21000000000001</v>
      </c>
    </row>
    <row r="86" spans="1:4" ht="27.75" customHeight="1">
      <c r="A86" s="36">
        <v>42</v>
      </c>
      <c r="B86" s="21" t="s">
        <v>584</v>
      </c>
      <c r="C86" s="49">
        <f aca="true" t="shared" si="3" ref="C86:C102">D86*1.25</f>
        <v>137.76250000000002</v>
      </c>
      <c r="D86" s="50">
        <f>103*1.07</f>
        <v>110.21000000000001</v>
      </c>
    </row>
    <row r="87" spans="1:4" ht="57.75" customHeight="1">
      <c r="A87" s="36">
        <v>43</v>
      </c>
      <c r="B87" s="21" t="s">
        <v>585</v>
      </c>
      <c r="C87" s="49">
        <f t="shared" si="3"/>
        <v>141.775</v>
      </c>
      <c r="D87" s="50">
        <f>106*1.07</f>
        <v>113.42</v>
      </c>
    </row>
    <row r="88" spans="1:4" ht="30" customHeight="1">
      <c r="A88" s="36">
        <v>44</v>
      </c>
      <c r="B88" s="21" t="s">
        <v>586</v>
      </c>
      <c r="C88" s="49">
        <f t="shared" si="3"/>
        <v>141.775</v>
      </c>
      <c r="D88" s="50">
        <f>106*1.07</f>
        <v>113.42</v>
      </c>
    </row>
    <row r="89" spans="1:4" ht="25.5" customHeight="1">
      <c r="A89" s="36">
        <v>45</v>
      </c>
      <c r="B89" s="21" t="s">
        <v>587</v>
      </c>
      <c r="C89" s="49">
        <f t="shared" si="3"/>
        <v>132.41250000000002</v>
      </c>
      <c r="D89" s="50">
        <f>99*1.07</f>
        <v>105.93</v>
      </c>
    </row>
    <row r="90" spans="1:4" ht="27.75" customHeight="1">
      <c r="A90" s="36">
        <v>46</v>
      </c>
      <c r="B90" s="21" t="s">
        <v>588</v>
      </c>
      <c r="C90" s="49">
        <f t="shared" si="3"/>
        <v>34.775</v>
      </c>
      <c r="D90" s="50">
        <f>26*1.07</f>
        <v>27.82</v>
      </c>
    </row>
    <row r="91" spans="1:4" ht="26.25" customHeight="1">
      <c r="A91" s="36">
        <v>47</v>
      </c>
      <c r="B91" s="21" t="s">
        <v>589</v>
      </c>
      <c r="C91" s="49">
        <f t="shared" si="3"/>
        <v>49.487500000000004</v>
      </c>
      <c r="D91" s="50">
        <f>37*1.07</f>
        <v>39.59</v>
      </c>
    </row>
    <row r="92" spans="1:4" ht="27" customHeight="1">
      <c r="A92" s="36">
        <v>48</v>
      </c>
      <c r="B92" s="21" t="s">
        <v>590</v>
      </c>
      <c r="C92" s="49">
        <f t="shared" si="3"/>
        <v>49.487500000000004</v>
      </c>
      <c r="D92" s="50">
        <f>37*1.07</f>
        <v>39.59</v>
      </c>
    </row>
    <row r="93" spans="1:4" ht="30" customHeight="1">
      <c r="A93" s="36">
        <v>49</v>
      </c>
      <c r="B93" s="21" t="s">
        <v>591</v>
      </c>
      <c r="C93" s="49">
        <f t="shared" si="3"/>
        <v>101.65</v>
      </c>
      <c r="D93" s="50">
        <f>76*1.07</f>
        <v>81.32000000000001</v>
      </c>
    </row>
    <row r="94" spans="1:4" ht="27.75">
      <c r="A94" s="36">
        <v>50</v>
      </c>
      <c r="B94" s="21" t="s">
        <v>592</v>
      </c>
      <c r="C94" s="49">
        <f t="shared" si="3"/>
        <v>92.2875</v>
      </c>
      <c r="D94" s="50">
        <f>69*1.07</f>
        <v>73.83</v>
      </c>
    </row>
    <row r="95" spans="1:4" ht="27.75">
      <c r="A95" s="36">
        <v>51</v>
      </c>
      <c r="B95" s="21" t="s">
        <v>593</v>
      </c>
      <c r="C95" s="49">
        <f t="shared" si="3"/>
        <v>100.3125</v>
      </c>
      <c r="D95" s="50">
        <f>75*1.07</f>
        <v>80.25</v>
      </c>
    </row>
    <row r="96" spans="1:4" ht="27.75">
      <c r="A96" s="36">
        <v>52</v>
      </c>
      <c r="B96" s="21" t="s">
        <v>594</v>
      </c>
      <c r="C96" s="49">
        <f t="shared" si="3"/>
        <v>153.8125</v>
      </c>
      <c r="D96" s="50">
        <f>115*1.07</f>
        <v>123.05000000000001</v>
      </c>
    </row>
    <row r="97" spans="1:4" ht="30" customHeight="1">
      <c r="A97" s="36">
        <v>53</v>
      </c>
      <c r="B97" s="21" t="s">
        <v>595</v>
      </c>
      <c r="C97" s="49">
        <f t="shared" si="3"/>
        <v>58.85000000000001</v>
      </c>
      <c r="D97" s="50">
        <f>44*1.07</f>
        <v>47.080000000000005</v>
      </c>
    </row>
    <row r="98" spans="1:4" ht="30" customHeight="1">
      <c r="A98" s="36">
        <v>54</v>
      </c>
      <c r="B98" s="21" t="s">
        <v>596</v>
      </c>
      <c r="C98" s="49">
        <f t="shared" si="3"/>
        <v>236.7375</v>
      </c>
      <c r="D98" s="50">
        <f>177*1.07</f>
        <v>189.39000000000001</v>
      </c>
    </row>
    <row r="99" spans="1:4" ht="27" customHeight="1">
      <c r="A99" s="36">
        <v>55</v>
      </c>
      <c r="B99" s="21" t="s">
        <v>597</v>
      </c>
      <c r="C99" s="49">
        <f t="shared" si="3"/>
        <v>92.2875</v>
      </c>
      <c r="D99" s="50">
        <f>69*1.07</f>
        <v>73.83</v>
      </c>
    </row>
    <row r="100" spans="1:4" ht="29.25" customHeight="1">
      <c r="A100" s="36">
        <v>56</v>
      </c>
      <c r="B100" s="21" t="s">
        <v>313</v>
      </c>
      <c r="C100" s="49">
        <f t="shared" si="3"/>
        <v>120.37500000000001</v>
      </c>
      <c r="D100" s="50">
        <f>90*1.07</f>
        <v>96.30000000000001</v>
      </c>
    </row>
    <row r="101" spans="1:4" ht="27.75">
      <c r="A101" s="36">
        <v>57</v>
      </c>
      <c r="B101" s="21" t="s">
        <v>314</v>
      </c>
      <c r="C101" s="49">
        <f t="shared" si="3"/>
        <v>120.37500000000001</v>
      </c>
      <c r="D101" s="50">
        <f>90*1.07</f>
        <v>96.30000000000001</v>
      </c>
    </row>
    <row r="102" spans="1:4" ht="27.75">
      <c r="A102" s="36">
        <v>58</v>
      </c>
      <c r="B102" s="21" t="s">
        <v>315</v>
      </c>
      <c r="C102" s="49">
        <f t="shared" si="3"/>
        <v>120.37500000000001</v>
      </c>
      <c r="D102" s="50">
        <f>90*1.07</f>
        <v>96.30000000000001</v>
      </c>
    </row>
    <row r="103" spans="1:4" ht="25.5" customHeight="1">
      <c r="A103" s="36"/>
      <c r="B103" s="37" t="s">
        <v>337</v>
      </c>
      <c r="C103" s="49"/>
      <c r="D103" s="50"/>
    </row>
    <row r="104" spans="1:4" ht="27.75">
      <c r="A104" s="36"/>
      <c r="B104" s="26" t="s">
        <v>338</v>
      </c>
      <c r="C104" s="49"/>
      <c r="D104" s="50"/>
    </row>
    <row r="105" spans="1:4" ht="60.75" customHeight="1">
      <c r="A105" s="36">
        <v>1</v>
      </c>
      <c r="B105" s="21" t="s">
        <v>339</v>
      </c>
      <c r="C105" s="49">
        <f aca="true" t="shared" si="4" ref="C105:C153">SUM(D105*1.25)</f>
        <v>60.18750000000001</v>
      </c>
      <c r="D105" s="50">
        <f>45*1.07</f>
        <v>48.150000000000006</v>
      </c>
    </row>
    <row r="106" spans="1:4" ht="52.5" customHeight="1">
      <c r="A106" s="36">
        <v>2</v>
      </c>
      <c r="B106" s="21" t="s">
        <v>519</v>
      </c>
      <c r="C106" s="49">
        <f t="shared" si="4"/>
        <v>33.4375</v>
      </c>
      <c r="D106" s="50">
        <f>25*1.07</f>
        <v>26.75</v>
      </c>
    </row>
    <row r="107" spans="1:4" ht="29.25" customHeight="1">
      <c r="A107" s="36">
        <v>3</v>
      </c>
      <c r="B107" s="21" t="s">
        <v>340</v>
      </c>
      <c r="C107" s="49">
        <f t="shared" si="4"/>
        <v>76.2375</v>
      </c>
      <c r="D107" s="50">
        <f>57*1.07</f>
        <v>60.99</v>
      </c>
    </row>
    <row r="108" spans="1:4" ht="29.25" customHeight="1">
      <c r="A108" s="36">
        <v>4</v>
      </c>
      <c r="B108" s="21" t="s">
        <v>341</v>
      </c>
      <c r="C108" s="49">
        <f t="shared" si="4"/>
        <v>165.85000000000002</v>
      </c>
      <c r="D108" s="50">
        <f>124*1.07</f>
        <v>132.68</v>
      </c>
    </row>
    <row r="109" spans="1:4" ht="28.5" customHeight="1">
      <c r="A109" s="36">
        <v>5</v>
      </c>
      <c r="B109" s="21" t="s">
        <v>342</v>
      </c>
      <c r="C109" s="49">
        <f t="shared" si="4"/>
        <v>45.475</v>
      </c>
      <c r="D109" s="50">
        <f>34*1.07</f>
        <v>36.38</v>
      </c>
    </row>
    <row r="110" spans="1:4" ht="27" customHeight="1">
      <c r="A110" s="36">
        <v>6</v>
      </c>
      <c r="B110" s="21" t="s">
        <v>343</v>
      </c>
      <c r="C110" s="49">
        <f t="shared" si="4"/>
        <v>38.7875</v>
      </c>
      <c r="D110" s="50">
        <f>29*1.07</f>
        <v>31.03</v>
      </c>
    </row>
    <row r="111" spans="1:4" ht="34.5" customHeight="1">
      <c r="A111" s="36">
        <v>7</v>
      </c>
      <c r="B111" s="21" t="s">
        <v>344</v>
      </c>
      <c r="C111" s="49">
        <f t="shared" si="4"/>
        <v>0</v>
      </c>
      <c r="D111" s="50"/>
    </row>
    <row r="112" spans="1:4" ht="34.5" customHeight="1">
      <c r="A112" s="36">
        <v>8</v>
      </c>
      <c r="B112" s="21" t="s">
        <v>345</v>
      </c>
      <c r="C112" s="49">
        <f t="shared" si="4"/>
        <v>0</v>
      </c>
      <c r="D112" s="50"/>
    </row>
    <row r="113" spans="1:4" ht="34.5" customHeight="1">
      <c r="A113" s="36">
        <v>9</v>
      </c>
      <c r="B113" s="21" t="s">
        <v>346</v>
      </c>
      <c r="C113" s="49">
        <f t="shared" si="4"/>
        <v>32.1</v>
      </c>
      <c r="D113" s="50">
        <f>24*1.07</f>
        <v>25.68</v>
      </c>
    </row>
    <row r="114" spans="1:4" ht="34.5" customHeight="1">
      <c r="A114" s="36">
        <v>10</v>
      </c>
      <c r="B114" s="21" t="s">
        <v>347</v>
      </c>
      <c r="C114" s="49">
        <f t="shared" si="4"/>
        <v>61.525000000000006</v>
      </c>
      <c r="D114" s="50">
        <f>46*1.07</f>
        <v>49.220000000000006</v>
      </c>
    </row>
    <row r="115" spans="1:4" ht="33.75" customHeight="1">
      <c r="A115" s="36">
        <v>11</v>
      </c>
      <c r="B115" s="21" t="s">
        <v>348</v>
      </c>
      <c r="C115" s="49">
        <f t="shared" si="4"/>
        <v>132.41250000000002</v>
      </c>
      <c r="D115" s="50">
        <f>99*1.07</f>
        <v>105.93</v>
      </c>
    </row>
    <row r="116" spans="1:4" ht="30" customHeight="1">
      <c r="A116" s="36">
        <v>12</v>
      </c>
      <c r="B116" s="21" t="s">
        <v>349</v>
      </c>
      <c r="C116" s="49">
        <f t="shared" si="4"/>
        <v>224.70000000000002</v>
      </c>
      <c r="D116" s="50">
        <f>168*1.07</f>
        <v>179.76000000000002</v>
      </c>
    </row>
    <row r="117" spans="1:4" ht="30" customHeight="1">
      <c r="A117" s="36">
        <v>13</v>
      </c>
      <c r="B117" s="21" t="s">
        <v>350</v>
      </c>
      <c r="C117" s="49">
        <f t="shared" si="4"/>
        <v>117.70000000000002</v>
      </c>
      <c r="D117" s="50">
        <f>88*1.07</f>
        <v>94.16000000000001</v>
      </c>
    </row>
    <row r="118" spans="1:4" ht="34.5" customHeight="1">
      <c r="A118" s="36">
        <v>14</v>
      </c>
      <c r="B118" s="21" t="s">
        <v>351</v>
      </c>
      <c r="C118" s="49">
        <f t="shared" si="4"/>
        <v>41.462500000000006</v>
      </c>
      <c r="D118" s="50">
        <f>31*1.07</f>
        <v>33.17</v>
      </c>
    </row>
    <row r="119" spans="1:4" ht="27.75">
      <c r="A119" s="36"/>
      <c r="B119" s="26" t="s">
        <v>352</v>
      </c>
      <c r="C119" s="49"/>
      <c r="D119" s="50"/>
    </row>
    <row r="120" spans="1:4" ht="54" customHeight="1">
      <c r="A120" s="36">
        <v>1</v>
      </c>
      <c r="B120" s="21" t="s">
        <v>353</v>
      </c>
      <c r="C120" s="49">
        <f t="shared" si="4"/>
        <v>20.0625</v>
      </c>
      <c r="D120" s="50">
        <f>15*1.07</f>
        <v>16.05</v>
      </c>
    </row>
    <row r="121" spans="1:4" ht="33.75" customHeight="1">
      <c r="A121" s="36">
        <v>2</v>
      </c>
      <c r="B121" s="21" t="s">
        <v>354</v>
      </c>
      <c r="C121" s="49">
        <f t="shared" si="4"/>
        <v>102.9875</v>
      </c>
      <c r="D121" s="50">
        <f>77*1.07</f>
        <v>82.39</v>
      </c>
    </row>
    <row r="122" spans="1:4" ht="27.75">
      <c r="A122" s="36"/>
      <c r="B122" s="26" t="s">
        <v>355</v>
      </c>
      <c r="C122" s="49">
        <f t="shared" si="4"/>
        <v>0</v>
      </c>
      <c r="D122" s="50"/>
    </row>
    <row r="123" spans="1:4" ht="32.25" customHeight="1">
      <c r="A123" s="36">
        <v>1</v>
      </c>
      <c r="B123" s="21" t="s">
        <v>356</v>
      </c>
      <c r="C123" s="49">
        <f t="shared" si="4"/>
        <v>22.7375</v>
      </c>
      <c r="D123" s="50">
        <f>17*1.07</f>
        <v>18.19</v>
      </c>
    </row>
    <row r="124" spans="1:4" ht="32.25" customHeight="1">
      <c r="A124" s="36">
        <v>2</v>
      </c>
      <c r="B124" s="21" t="s">
        <v>357</v>
      </c>
      <c r="C124" s="49">
        <f t="shared" si="4"/>
        <v>26.750000000000004</v>
      </c>
      <c r="D124" s="50">
        <f>20*1.07</f>
        <v>21.400000000000002</v>
      </c>
    </row>
    <row r="125" spans="1:4" ht="58.5" customHeight="1">
      <c r="A125" s="36">
        <v>3</v>
      </c>
      <c r="B125" s="21" t="s">
        <v>358</v>
      </c>
      <c r="C125" s="49">
        <f t="shared" si="4"/>
        <v>69.55</v>
      </c>
      <c r="D125" s="50">
        <f>52*1.07</f>
        <v>55.64</v>
      </c>
    </row>
    <row r="126" spans="1:4" ht="30.75" customHeight="1">
      <c r="A126" s="36">
        <v>4</v>
      </c>
      <c r="B126" s="21" t="s">
        <v>359</v>
      </c>
      <c r="C126" s="49">
        <f t="shared" si="4"/>
        <v>78.91250000000001</v>
      </c>
      <c r="D126" s="50">
        <f>59*1.07</f>
        <v>63.13</v>
      </c>
    </row>
    <row r="127" spans="1:4" ht="34.5" customHeight="1">
      <c r="A127" s="36">
        <v>5</v>
      </c>
      <c r="B127" s="21" t="s">
        <v>520</v>
      </c>
      <c r="C127" s="49">
        <f t="shared" si="4"/>
        <v>94.9625</v>
      </c>
      <c r="D127" s="50">
        <f>71*1.07</f>
        <v>75.97</v>
      </c>
    </row>
    <row r="128" spans="1:4" ht="34.5" customHeight="1">
      <c r="A128" s="36">
        <v>6</v>
      </c>
      <c r="B128" s="21" t="s">
        <v>360</v>
      </c>
      <c r="C128" s="49">
        <f t="shared" si="4"/>
        <v>92.2875</v>
      </c>
      <c r="D128" s="50">
        <f>69*1.07</f>
        <v>73.83</v>
      </c>
    </row>
    <row r="129" spans="1:4" ht="30.75" customHeight="1">
      <c r="A129" s="36">
        <v>7</v>
      </c>
      <c r="B129" s="21" t="s">
        <v>568</v>
      </c>
      <c r="C129" s="49">
        <f t="shared" si="4"/>
        <v>120.37500000000001</v>
      </c>
      <c r="D129" s="50">
        <f>90*1.07</f>
        <v>96.30000000000001</v>
      </c>
    </row>
    <row r="130" spans="1:4" ht="30" customHeight="1">
      <c r="A130" s="36">
        <v>8</v>
      </c>
      <c r="B130" s="21" t="s">
        <v>361</v>
      </c>
      <c r="C130" s="49">
        <f t="shared" si="4"/>
        <v>239.4125</v>
      </c>
      <c r="D130" s="50">
        <f>179*1.07</f>
        <v>191.53</v>
      </c>
    </row>
    <row r="131" spans="1:4" ht="27" customHeight="1">
      <c r="A131" s="36">
        <v>9</v>
      </c>
      <c r="B131" s="21" t="s">
        <v>362</v>
      </c>
      <c r="C131" s="49">
        <f t="shared" si="4"/>
        <v>357.1125</v>
      </c>
      <c r="D131" s="50">
        <f>267*1.07</f>
        <v>285.69</v>
      </c>
    </row>
    <row r="132" spans="1:4" ht="28.5" customHeight="1">
      <c r="A132" s="36">
        <v>10</v>
      </c>
      <c r="B132" s="21" t="s">
        <v>363</v>
      </c>
      <c r="C132" s="49">
        <f t="shared" si="4"/>
        <v>137.76250000000002</v>
      </c>
      <c r="D132" s="50">
        <f>103*1.07</f>
        <v>110.21000000000001</v>
      </c>
    </row>
    <row r="133" spans="1:4" ht="27.75">
      <c r="A133" s="36"/>
      <c r="B133" s="26" t="s">
        <v>364</v>
      </c>
      <c r="C133" s="49">
        <f t="shared" si="4"/>
        <v>0</v>
      </c>
      <c r="D133" s="50"/>
    </row>
    <row r="134" spans="1:4" ht="55.5" customHeight="1">
      <c r="A134" s="36">
        <v>1</v>
      </c>
      <c r="B134" s="21" t="s">
        <v>365</v>
      </c>
      <c r="C134" s="49">
        <f t="shared" si="4"/>
        <v>29.425000000000004</v>
      </c>
      <c r="D134" s="50">
        <f>22*1.07</f>
        <v>23.540000000000003</v>
      </c>
    </row>
    <row r="135" spans="1:4" ht="52.5" customHeight="1">
      <c r="A135" s="36">
        <v>2</v>
      </c>
      <c r="B135" s="21" t="s">
        <v>366</v>
      </c>
      <c r="C135" s="49">
        <f t="shared" si="4"/>
        <v>34.775</v>
      </c>
      <c r="D135" s="50">
        <f>26*1.07</f>
        <v>27.82</v>
      </c>
    </row>
    <row r="136" spans="1:4" ht="33.75" customHeight="1">
      <c r="A136" s="36">
        <v>3</v>
      </c>
      <c r="B136" s="21" t="s">
        <v>367</v>
      </c>
      <c r="C136" s="49">
        <f t="shared" si="4"/>
        <v>70.8875</v>
      </c>
      <c r="D136" s="50">
        <f>53*1.07</f>
        <v>56.71</v>
      </c>
    </row>
    <row r="137" spans="1:4" ht="29.25" customHeight="1">
      <c r="A137" s="36">
        <v>4</v>
      </c>
      <c r="B137" s="21" t="s">
        <v>368</v>
      </c>
      <c r="C137" s="49">
        <f t="shared" si="4"/>
        <v>26.750000000000004</v>
      </c>
      <c r="D137" s="50">
        <f>20*1.07</f>
        <v>21.400000000000002</v>
      </c>
    </row>
    <row r="138" spans="1:4" ht="33.75" customHeight="1">
      <c r="A138" s="36">
        <v>5</v>
      </c>
      <c r="B138" s="21" t="s">
        <v>369</v>
      </c>
      <c r="C138" s="49">
        <f t="shared" si="4"/>
        <v>113.6875</v>
      </c>
      <c r="D138" s="50">
        <f>85*1.07</f>
        <v>90.95</v>
      </c>
    </row>
    <row r="139" spans="1:4" ht="31.5" customHeight="1">
      <c r="A139" s="36">
        <v>6</v>
      </c>
      <c r="B139" s="21" t="s">
        <v>370</v>
      </c>
      <c r="C139" s="49">
        <f t="shared" si="4"/>
        <v>21.400000000000002</v>
      </c>
      <c r="D139" s="50">
        <f>16*1.07</f>
        <v>17.12</v>
      </c>
    </row>
    <row r="140" spans="1:4" ht="27.75" customHeight="1">
      <c r="A140" s="36">
        <v>7</v>
      </c>
      <c r="B140" s="21" t="s">
        <v>371</v>
      </c>
      <c r="C140" s="49">
        <f t="shared" si="4"/>
        <v>179.225</v>
      </c>
      <c r="D140" s="50">
        <f>134*1.07</f>
        <v>143.38</v>
      </c>
    </row>
    <row r="141" spans="1:4" ht="27.75" customHeight="1">
      <c r="A141" s="36">
        <v>8</v>
      </c>
      <c r="B141" s="21" t="s">
        <v>372</v>
      </c>
      <c r="C141" s="49">
        <f t="shared" si="4"/>
        <v>159.16250000000002</v>
      </c>
      <c r="D141" s="50">
        <f>119*1.07</f>
        <v>127.33000000000001</v>
      </c>
    </row>
    <row r="142" spans="1:4" ht="25.5" customHeight="1">
      <c r="A142" s="36">
        <v>9</v>
      </c>
      <c r="B142" s="21" t="s">
        <v>373</v>
      </c>
      <c r="C142" s="49">
        <f t="shared" si="4"/>
        <v>49.487500000000004</v>
      </c>
      <c r="D142" s="50">
        <f>37*1.07</f>
        <v>39.59</v>
      </c>
    </row>
    <row r="143" spans="1:4" ht="31.5" customHeight="1">
      <c r="A143" s="36">
        <v>10</v>
      </c>
      <c r="B143" s="21" t="s">
        <v>374</v>
      </c>
      <c r="C143" s="49">
        <f t="shared" si="4"/>
        <v>0</v>
      </c>
      <c r="D143" s="50"/>
    </row>
    <row r="144" spans="1:4" ht="27.75">
      <c r="A144" s="36">
        <v>11</v>
      </c>
      <c r="B144" s="21" t="s">
        <v>375</v>
      </c>
      <c r="C144" s="49">
        <f t="shared" si="4"/>
        <v>115.025</v>
      </c>
      <c r="D144" s="50">
        <f>86*1.07</f>
        <v>92.02000000000001</v>
      </c>
    </row>
    <row r="145" spans="1:4" ht="27.75">
      <c r="A145" s="36">
        <v>12</v>
      </c>
      <c r="B145" s="21" t="s">
        <v>376</v>
      </c>
      <c r="C145" s="49">
        <f t="shared" si="4"/>
        <v>64.2</v>
      </c>
      <c r="D145" s="50">
        <f>48*1.07</f>
        <v>51.36</v>
      </c>
    </row>
    <row r="146" spans="1:4" ht="51.75" customHeight="1">
      <c r="A146" s="36">
        <v>13</v>
      </c>
      <c r="B146" s="21" t="s">
        <v>377</v>
      </c>
      <c r="C146" s="49">
        <f t="shared" si="4"/>
        <v>69.55</v>
      </c>
      <c r="D146" s="50">
        <f>52*1.07</f>
        <v>55.64</v>
      </c>
    </row>
    <row r="147" spans="1:4" ht="28.5" customHeight="1">
      <c r="A147" s="36">
        <v>14</v>
      </c>
      <c r="B147" s="21" t="s">
        <v>378</v>
      </c>
      <c r="C147" s="49">
        <f t="shared" si="4"/>
        <v>53.50000000000001</v>
      </c>
      <c r="D147" s="50">
        <f>40*1.07</f>
        <v>42.800000000000004</v>
      </c>
    </row>
    <row r="148" spans="1:4" ht="51.75" customHeight="1">
      <c r="A148" s="36">
        <v>15</v>
      </c>
      <c r="B148" s="21" t="s">
        <v>379</v>
      </c>
      <c r="C148" s="49">
        <f t="shared" si="4"/>
        <v>140.4375</v>
      </c>
      <c r="D148" s="50">
        <f>105*1.07</f>
        <v>112.35000000000001</v>
      </c>
    </row>
    <row r="149" spans="1:4" ht="54" customHeight="1">
      <c r="A149" s="36">
        <v>16</v>
      </c>
      <c r="B149" s="21" t="s">
        <v>380</v>
      </c>
      <c r="C149" s="49">
        <f t="shared" si="4"/>
        <v>151.13750000000002</v>
      </c>
      <c r="D149" s="50">
        <f>113*1.07</f>
        <v>120.91000000000001</v>
      </c>
    </row>
    <row r="150" spans="1:4" ht="55.5" customHeight="1">
      <c r="A150" s="36">
        <v>17</v>
      </c>
      <c r="B150" s="21" t="s">
        <v>381</v>
      </c>
      <c r="C150" s="49">
        <f t="shared" si="4"/>
        <v>90.95</v>
      </c>
      <c r="D150" s="50">
        <f>68*1.07</f>
        <v>72.76</v>
      </c>
    </row>
    <row r="151" spans="1:4" ht="30.75" customHeight="1">
      <c r="A151" s="36">
        <v>18</v>
      </c>
      <c r="B151" s="21" t="s">
        <v>382</v>
      </c>
      <c r="C151" s="49">
        <f t="shared" si="4"/>
        <v>185.91250000000002</v>
      </c>
      <c r="D151" s="50">
        <f>139*1.07</f>
        <v>148.73000000000002</v>
      </c>
    </row>
    <row r="152" spans="1:4" ht="30.75" customHeight="1">
      <c r="A152" s="36">
        <v>19</v>
      </c>
      <c r="B152" s="21" t="s">
        <v>505</v>
      </c>
      <c r="C152" s="49">
        <f t="shared" si="4"/>
        <v>64.2</v>
      </c>
      <c r="D152" s="50">
        <f>48*1.07</f>
        <v>51.36</v>
      </c>
    </row>
    <row r="153" spans="1:4" ht="54.75" customHeight="1">
      <c r="A153" s="36">
        <v>20</v>
      </c>
      <c r="B153" s="21" t="s">
        <v>569</v>
      </c>
      <c r="C153" s="49">
        <f t="shared" si="4"/>
        <v>73.5625</v>
      </c>
      <c r="D153" s="50">
        <f>55*1.07</f>
        <v>58.85</v>
      </c>
    </row>
    <row r="154" spans="1:4" ht="27.75" customHeight="1">
      <c r="A154" s="36">
        <v>21</v>
      </c>
      <c r="B154" s="21" t="s">
        <v>383</v>
      </c>
      <c r="C154" s="49">
        <f aca="true" t="shared" si="5" ref="C154:C221">SUM(D154*1.25)</f>
        <v>66.875</v>
      </c>
      <c r="D154" s="50">
        <f>50*1.07</f>
        <v>53.5</v>
      </c>
    </row>
    <row r="155" spans="1:4" ht="27.75" customHeight="1">
      <c r="A155" s="36">
        <v>22</v>
      </c>
      <c r="B155" s="21" t="s">
        <v>384</v>
      </c>
      <c r="C155" s="49">
        <f t="shared" si="5"/>
        <v>61.525000000000006</v>
      </c>
      <c r="D155" s="50">
        <f>46*1.07</f>
        <v>49.220000000000006</v>
      </c>
    </row>
    <row r="156" spans="1:4" ht="27.75" customHeight="1">
      <c r="A156" s="36">
        <v>23</v>
      </c>
      <c r="B156" s="21" t="s">
        <v>385</v>
      </c>
      <c r="C156" s="49">
        <f t="shared" si="5"/>
        <v>121.7125</v>
      </c>
      <c r="D156" s="50">
        <f>91*1.07</f>
        <v>97.37</v>
      </c>
    </row>
    <row r="157" spans="1:4" ht="27.75" customHeight="1">
      <c r="A157" s="36">
        <v>24</v>
      </c>
      <c r="B157" s="21" t="s">
        <v>386</v>
      </c>
      <c r="C157" s="49">
        <f t="shared" si="5"/>
        <v>113.6875</v>
      </c>
      <c r="D157" s="50">
        <f>85*1.07</f>
        <v>90.95</v>
      </c>
    </row>
    <row r="158" spans="1:4" ht="27.75" customHeight="1">
      <c r="A158" s="36">
        <v>25</v>
      </c>
      <c r="B158" s="21" t="s">
        <v>387</v>
      </c>
      <c r="C158" s="49">
        <f t="shared" si="5"/>
        <v>125.72500000000002</v>
      </c>
      <c r="D158" s="50">
        <f>94*1.07</f>
        <v>100.58000000000001</v>
      </c>
    </row>
    <row r="159" spans="1:4" ht="27.75" customHeight="1">
      <c r="A159" s="36">
        <v>26</v>
      </c>
      <c r="B159" s="21" t="s">
        <v>388</v>
      </c>
      <c r="C159" s="49">
        <f t="shared" si="5"/>
        <v>125.72500000000002</v>
      </c>
      <c r="D159" s="50">
        <f>94*1.07</f>
        <v>100.58000000000001</v>
      </c>
    </row>
    <row r="160" spans="1:4" ht="27.75" customHeight="1">
      <c r="A160" s="36">
        <v>27</v>
      </c>
      <c r="B160" s="21" t="s">
        <v>389</v>
      </c>
      <c r="C160" s="49">
        <f t="shared" si="5"/>
        <v>159.16250000000002</v>
      </c>
      <c r="D160" s="50">
        <f>119*1.07</f>
        <v>127.33000000000001</v>
      </c>
    </row>
    <row r="161" spans="1:4" ht="27.75" customHeight="1">
      <c r="A161" s="36">
        <v>28</v>
      </c>
      <c r="B161" s="21" t="s">
        <v>390</v>
      </c>
      <c r="C161" s="49">
        <f t="shared" si="5"/>
        <v>223.3625</v>
      </c>
      <c r="D161" s="50">
        <f>167*1.07</f>
        <v>178.69</v>
      </c>
    </row>
    <row r="162" spans="1:4" ht="27.75">
      <c r="A162" s="36">
        <v>29</v>
      </c>
      <c r="B162" s="21" t="s">
        <v>521</v>
      </c>
      <c r="C162" s="49">
        <f t="shared" si="5"/>
        <v>86.9375</v>
      </c>
      <c r="D162" s="50">
        <f>65*1.07</f>
        <v>69.55</v>
      </c>
    </row>
    <row r="163" spans="1:4" ht="31.5" customHeight="1">
      <c r="A163" s="36">
        <v>30</v>
      </c>
      <c r="B163" s="21" t="s">
        <v>391</v>
      </c>
      <c r="C163" s="49">
        <f t="shared" si="5"/>
        <v>893.45</v>
      </c>
      <c r="D163" s="50">
        <f>668*1.07</f>
        <v>714.76</v>
      </c>
    </row>
    <row r="164" spans="1:4" ht="27.75">
      <c r="A164" s="36">
        <v>31</v>
      </c>
      <c r="B164" s="21" t="s">
        <v>392</v>
      </c>
      <c r="C164" s="49"/>
      <c r="D164" s="50"/>
    </row>
    <row r="165" spans="1:4" ht="30" customHeight="1">
      <c r="A165" s="36">
        <v>32</v>
      </c>
      <c r="B165" s="21" t="s">
        <v>393</v>
      </c>
      <c r="C165" s="49">
        <f t="shared" si="5"/>
        <v>135.0875</v>
      </c>
      <c r="D165" s="50">
        <f>101*1.07</f>
        <v>108.07000000000001</v>
      </c>
    </row>
    <row r="166" spans="1:4" ht="34.5" customHeight="1">
      <c r="A166" s="36">
        <v>33</v>
      </c>
      <c r="B166" s="21" t="s">
        <v>394</v>
      </c>
      <c r="C166" s="49">
        <f t="shared" si="5"/>
        <v>90.95</v>
      </c>
      <c r="D166" s="50">
        <f>68*1.07</f>
        <v>72.76</v>
      </c>
    </row>
    <row r="167" spans="1:4" ht="53.25" customHeight="1">
      <c r="A167" s="36">
        <v>34</v>
      </c>
      <c r="B167" s="21" t="s">
        <v>395</v>
      </c>
      <c r="C167" s="49">
        <f t="shared" si="5"/>
        <v>58.85000000000001</v>
      </c>
      <c r="D167" s="50">
        <f>44*1.07</f>
        <v>47.080000000000005</v>
      </c>
    </row>
    <row r="168" spans="1:4" ht="52.5" customHeight="1">
      <c r="A168" s="36">
        <v>35</v>
      </c>
      <c r="B168" s="21" t="s">
        <v>396</v>
      </c>
      <c r="C168" s="49">
        <f t="shared" si="5"/>
        <v>207.31250000000003</v>
      </c>
      <c r="D168" s="50">
        <f>155*1.07</f>
        <v>165.85000000000002</v>
      </c>
    </row>
    <row r="169" spans="1:4" ht="52.5" customHeight="1">
      <c r="A169" s="36">
        <v>36</v>
      </c>
      <c r="B169" s="21" t="s">
        <v>397</v>
      </c>
      <c r="C169" s="49">
        <f t="shared" si="5"/>
        <v>152.475</v>
      </c>
      <c r="D169" s="50">
        <f>114*1.07</f>
        <v>121.98</v>
      </c>
    </row>
    <row r="170" spans="1:4" ht="54.75" customHeight="1">
      <c r="A170" s="36">
        <v>37</v>
      </c>
      <c r="B170" s="21" t="s">
        <v>506</v>
      </c>
      <c r="C170" s="49">
        <f t="shared" si="5"/>
        <v>207.31250000000003</v>
      </c>
      <c r="D170" s="50">
        <f>155*1.07</f>
        <v>165.85000000000002</v>
      </c>
    </row>
    <row r="171" spans="1:4" ht="57.75" customHeight="1">
      <c r="A171" s="36">
        <v>38</v>
      </c>
      <c r="B171" s="21" t="s">
        <v>398</v>
      </c>
      <c r="C171" s="49">
        <f t="shared" si="5"/>
        <v>159.16250000000002</v>
      </c>
      <c r="D171" s="50">
        <f>119*1.07</f>
        <v>127.33000000000001</v>
      </c>
    </row>
    <row r="172" spans="1:4" ht="57.75" customHeight="1">
      <c r="A172" s="36">
        <v>39</v>
      </c>
      <c r="B172" s="21" t="s">
        <v>522</v>
      </c>
      <c r="C172" s="49">
        <f t="shared" si="5"/>
        <v>532.325</v>
      </c>
      <c r="D172" s="50">
        <f>398*1.07</f>
        <v>425.86</v>
      </c>
    </row>
    <row r="173" spans="1:4" ht="57.75" customHeight="1">
      <c r="A173" s="36">
        <v>40</v>
      </c>
      <c r="B173" s="21" t="s">
        <v>523</v>
      </c>
      <c r="C173" s="49">
        <f t="shared" si="5"/>
        <v>125.72500000000002</v>
      </c>
      <c r="D173" s="50">
        <f>94*1.07</f>
        <v>100.58000000000001</v>
      </c>
    </row>
    <row r="174" spans="1:4" ht="29.25" customHeight="1">
      <c r="A174" s="36">
        <v>41</v>
      </c>
      <c r="B174" s="21" t="s">
        <v>399</v>
      </c>
      <c r="C174" s="49">
        <f t="shared" si="5"/>
        <v>28.087500000000002</v>
      </c>
      <c r="D174" s="50">
        <f>21*1.07</f>
        <v>22.470000000000002</v>
      </c>
    </row>
    <row r="175" spans="1:4" ht="29.25" customHeight="1">
      <c r="A175" s="36">
        <v>42</v>
      </c>
      <c r="B175" s="21" t="s">
        <v>400</v>
      </c>
      <c r="C175" s="49">
        <f t="shared" si="5"/>
        <v>38.7875</v>
      </c>
      <c r="D175" s="50">
        <f>29*1.07</f>
        <v>31.03</v>
      </c>
    </row>
    <row r="176" spans="1:4" ht="27.75" customHeight="1">
      <c r="A176" s="36">
        <v>43</v>
      </c>
      <c r="B176" s="21" t="s">
        <v>401</v>
      </c>
      <c r="C176" s="49">
        <f t="shared" si="5"/>
        <v>964.3375000000001</v>
      </c>
      <c r="D176" s="50">
        <f>721*1.07</f>
        <v>771.47</v>
      </c>
    </row>
    <row r="177" spans="1:4" ht="25.5" customHeight="1">
      <c r="A177" s="36">
        <v>44</v>
      </c>
      <c r="B177" s="21" t="s">
        <v>402</v>
      </c>
      <c r="C177" s="49">
        <f t="shared" si="5"/>
        <v>964.3375000000001</v>
      </c>
      <c r="D177" s="50">
        <f>721*1.07</f>
        <v>771.47</v>
      </c>
    </row>
    <row r="178" spans="1:4" ht="25.5" customHeight="1">
      <c r="A178" s="36">
        <v>45</v>
      </c>
      <c r="B178" s="21" t="s">
        <v>403</v>
      </c>
      <c r="C178" s="49">
        <f t="shared" si="5"/>
        <v>152.475</v>
      </c>
      <c r="D178" s="50">
        <f>114*1.07</f>
        <v>121.98</v>
      </c>
    </row>
    <row r="179" spans="1:4" ht="33.75" customHeight="1">
      <c r="A179" s="36"/>
      <c r="B179" s="26" t="s">
        <v>404</v>
      </c>
      <c r="C179" s="49"/>
      <c r="D179" s="50"/>
    </row>
    <row r="180" spans="1:4" ht="54" customHeight="1">
      <c r="A180" s="36">
        <v>1</v>
      </c>
      <c r="B180" s="21" t="s">
        <v>741</v>
      </c>
      <c r="C180" s="49">
        <f t="shared" si="5"/>
        <v>411.95</v>
      </c>
      <c r="D180" s="50">
        <f>308*1.07</f>
        <v>329.56</v>
      </c>
    </row>
    <row r="181" spans="1:4" ht="81" customHeight="1">
      <c r="A181" s="36">
        <v>2</v>
      </c>
      <c r="B181" s="21" t="s">
        <v>724</v>
      </c>
      <c r="C181" s="49">
        <f t="shared" si="5"/>
        <v>925.5500000000001</v>
      </c>
      <c r="D181" s="50">
        <f>692*1.07</f>
        <v>740.44</v>
      </c>
    </row>
    <row r="182" spans="1:4" ht="27.75">
      <c r="A182" s="36">
        <v>3</v>
      </c>
      <c r="B182" s="21" t="s">
        <v>405</v>
      </c>
      <c r="C182" s="49">
        <f t="shared" si="5"/>
        <v>284.88750000000005</v>
      </c>
      <c r="D182" s="50">
        <f>213*1.07</f>
        <v>227.91000000000003</v>
      </c>
    </row>
    <row r="183" spans="1:4" ht="27.75">
      <c r="A183" s="36">
        <v>4</v>
      </c>
      <c r="B183" s="21" t="s">
        <v>406</v>
      </c>
      <c r="C183" s="49">
        <f t="shared" si="5"/>
        <v>1115.475</v>
      </c>
      <c r="D183" s="50">
        <f>834*1.07</f>
        <v>892.38</v>
      </c>
    </row>
    <row r="184" spans="1:4" ht="30" customHeight="1">
      <c r="A184" s="36"/>
      <c r="B184" s="26" t="s">
        <v>407</v>
      </c>
      <c r="C184" s="49"/>
      <c r="D184" s="50"/>
    </row>
    <row r="185" spans="1:4" ht="26.25" customHeight="1">
      <c r="A185" s="36">
        <v>1</v>
      </c>
      <c r="B185" s="21" t="s">
        <v>408</v>
      </c>
      <c r="C185" s="49">
        <f t="shared" si="5"/>
        <v>532.325</v>
      </c>
      <c r="D185" s="50">
        <f>398*1.07</f>
        <v>425.86</v>
      </c>
    </row>
    <row r="186" spans="1:4" ht="25.5" customHeight="1">
      <c r="A186" s="36">
        <v>2</v>
      </c>
      <c r="B186" s="21" t="s">
        <v>409</v>
      </c>
      <c r="C186" s="49">
        <f t="shared" si="5"/>
        <v>576.4625</v>
      </c>
      <c r="D186" s="50">
        <f>431*1.07</f>
        <v>461.17</v>
      </c>
    </row>
    <row r="187" spans="1:4" ht="27.75" customHeight="1">
      <c r="A187" s="36">
        <v>3</v>
      </c>
      <c r="B187" s="21" t="s">
        <v>410</v>
      </c>
      <c r="C187" s="49">
        <f t="shared" si="5"/>
        <v>529.6500000000001</v>
      </c>
      <c r="D187" s="50">
        <f>396*1.07</f>
        <v>423.72</v>
      </c>
    </row>
    <row r="188" spans="1:4" ht="27.75" customHeight="1">
      <c r="A188" s="36">
        <v>4</v>
      </c>
      <c r="B188" s="21" t="s">
        <v>411</v>
      </c>
      <c r="C188" s="49">
        <f t="shared" si="5"/>
        <v>544.3625</v>
      </c>
      <c r="D188" s="50">
        <f>407*1.07</f>
        <v>435.49</v>
      </c>
    </row>
    <row r="189" spans="1:4" ht="27.75" customHeight="1">
      <c r="A189" s="36">
        <v>5</v>
      </c>
      <c r="B189" s="21" t="s">
        <v>412</v>
      </c>
      <c r="C189" s="49">
        <f t="shared" si="5"/>
        <v>544.3625</v>
      </c>
      <c r="D189" s="50">
        <f>407*1.07</f>
        <v>435.49</v>
      </c>
    </row>
    <row r="190" spans="1:4" ht="30.75" customHeight="1">
      <c r="A190" s="36">
        <v>6</v>
      </c>
      <c r="B190" s="21" t="s">
        <v>413</v>
      </c>
      <c r="C190" s="49">
        <f t="shared" si="5"/>
        <v>540.35</v>
      </c>
      <c r="D190" s="50">
        <f>404*1.07</f>
        <v>432.28000000000003</v>
      </c>
    </row>
    <row r="191" spans="1:4" ht="27.75" customHeight="1">
      <c r="A191" s="36">
        <v>7</v>
      </c>
      <c r="B191" s="21" t="s">
        <v>414</v>
      </c>
      <c r="C191" s="49">
        <f t="shared" si="5"/>
        <v>541.6875</v>
      </c>
      <c r="D191" s="50">
        <f>405*1.07</f>
        <v>433.35</v>
      </c>
    </row>
    <row r="192" spans="1:4" ht="28.5" customHeight="1">
      <c r="A192" s="36">
        <v>8</v>
      </c>
      <c r="B192" s="21" t="s">
        <v>415</v>
      </c>
      <c r="C192" s="49">
        <f t="shared" si="5"/>
        <v>516.2750000000001</v>
      </c>
      <c r="D192" s="50">
        <f>386*1.07</f>
        <v>413.02000000000004</v>
      </c>
    </row>
    <row r="193" spans="1:4" ht="27.75">
      <c r="A193" s="36">
        <v>9</v>
      </c>
      <c r="B193" s="21" t="s">
        <v>416</v>
      </c>
      <c r="C193" s="49">
        <f t="shared" si="5"/>
        <v>540.35</v>
      </c>
      <c r="D193" s="50">
        <f>404*1.07</f>
        <v>432.28000000000003</v>
      </c>
    </row>
    <row r="194" spans="1:4" ht="36" customHeight="1">
      <c r="A194" s="36">
        <v>10</v>
      </c>
      <c r="B194" s="21" t="s">
        <v>417</v>
      </c>
      <c r="C194" s="49">
        <f t="shared" si="5"/>
        <v>544.3625</v>
      </c>
      <c r="D194" s="50">
        <f>407*1.07</f>
        <v>435.49</v>
      </c>
    </row>
    <row r="195" spans="1:4" ht="30.75" customHeight="1">
      <c r="A195" s="36">
        <v>11</v>
      </c>
      <c r="B195" s="21" t="s">
        <v>418</v>
      </c>
      <c r="C195" s="49">
        <f t="shared" si="5"/>
        <v>532.325</v>
      </c>
      <c r="D195" s="50">
        <f>398*1.07</f>
        <v>425.86</v>
      </c>
    </row>
    <row r="196" spans="1:4" ht="55.5">
      <c r="A196" s="36">
        <v>12</v>
      </c>
      <c r="B196" s="21" t="s">
        <v>419</v>
      </c>
      <c r="C196" s="49">
        <f t="shared" si="5"/>
        <v>541.6875</v>
      </c>
      <c r="D196" s="50">
        <f>405*1.07</f>
        <v>433.35</v>
      </c>
    </row>
    <row r="197" spans="1:4" ht="31.5" customHeight="1">
      <c r="A197" s="36">
        <v>13</v>
      </c>
      <c r="B197" s="21" t="s">
        <v>420</v>
      </c>
      <c r="C197" s="49">
        <f t="shared" si="5"/>
        <v>821.225</v>
      </c>
      <c r="D197" s="50">
        <f>614*1.07</f>
        <v>656.98</v>
      </c>
    </row>
    <row r="198" spans="1:4" ht="27.75">
      <c r="A198" s="36">
        <v>14</v>
      </c>
      <c r="B198" s="21" t="s">
        <v>421</v>
      </c>
      <c r="C198" s="49">
        <f t="shared" si="5"/>
        <v>826.575</v>
      </c>
      <c r="D198" s="50">
        <f>618*1.07</f>
        <v>661.26</v>
      </c>
    </row>
    <row r="199" spans="1:4" ht="27.75">
      <c r="A199" s="36">
        <v>15</v>
      </c>
      <c r="B199" s="21" t="s">
        <v>422</v>
      </c>
      <c r="C199" s="49">
        <f t="shared" si="5"/>
        <v>731.6125000000001</v>
      </c>
      <c r="D199" s="50">
        <f>547*1.07</f>
        <v>585.2900000000001</v>
      </c>
    </row>
    <row r="200" spans="1:4" ht="27" customHeight="1">
      <c r="A200" s="36">
        <v>16</v>
      </c>
      <c r="B200" s="21" t="s">
        <v>423</v>
      </c>
      <c r="C200" s="49">
        <f t="shared" si="5"/>
        <v>651.3625000000001</v>
      </c>
      <c r="D200" s="50">
        <f>487*1.07</f>
        <v>521.09</v>
      </c>
    </row>
    <row r="201" spans="1:4" ht="32.25" customHeight="1">
      <c r="A201" s="36">
        <v>17</v>
      </c>
      <c r="B201" s="21" t="s">
        <v>725</v>
      </c>
      <c r="C201" s="49">
        <f t="shared" si="5"/>
        <v>453.4125</v>
      </c>
      <c r="D201" s="50">
        <f>339*1.07</f>
        <v>362.73</v>
      </c>
    </row>
    <row r="202" spans="1:4" ht="33" customHeight="1">
      <c r="A202" s="36">
        <v>18</v>
      </c>
      <c r="B202" s="21" t="s">
        <v>424</v>
      </c>
      <c r="C202" s="49">
        <f t="shared" si="5"/>
        <v>702.1875</v>
      </c>
      <c r="D202" s="50">
        <f>525*1.07</f>
        <v>561.75</v>
      </c>
    </row>
    <row r="203" spans="1:4" ht="33.75" customHeight="1">
      <c r="A203" s="36">
        <v>19</v>
      </c>
      <c r="B203" s="21" t="s">
        <v>425</v>
      </c>
      <c r="C203" s="49">
        <f t="shared" si="5"/>
        <v>702.1875</v>
      </c>
      <c r="D203" s="50">
        <f>525*1.07</f>
        <v>561.75</v>
      </c>
    </row>
    <row r="204" spans="1:4" ht="32.25" customHeight="1">
      <c r="A204" s="36">
        <v>20</v>
      </c>
      <c r="B204" s="21" t="s">
        <v>524</v>
      </c>
      <c r="C204" s="49">
        <f t="shared" si="5"/>
        <v>620.6</v>
      </c>
      <c r="D204" s="50">
        <f>464*1.07</f>
        <v>496.48</v>
      </c>
    </row>
    <row r="205" spans="1:4" ht="27.75">
      <c r="A205" s="36">
        <v>21</v>
      </c>
      <c r="B205" s="21" t="s">
        <v>426</v>
      </c>
      <c r="C205" s="49">
        <f t="shared" si="5"/>
        <v>952.3000000000001</v>
      </c>
      <c r="D205" s="50">
        <f>712*1.07</f>
        <v>761.84</v>
      </c>
    </row>
    <row r="206" spans="1:4" ht="32.25" customHeight="1">
      <c r="A206" s="36">
        <v>22</v>
      </c>
      <c r="B206" s="21" t="s">
        <v>427</v>
      </c>
      <c r="C206" s="49">
        <f t="shared" si="5"/>
        <v>714.225</v>
      </c>
      <c r="D206" s="50">
        <f>534*1.07</f>
        <v>571.38</v>
      </c>
    </row>
    <row r="207" spans="1:4" ht="27.75">
      <c r="A207" s="36">
        <v>23</v>
      </c>
      <c r="B207" s="21" t="s">
        <v>428</v>
      </c>
      <c r="C207" s="49">
        <f t="shared" si="5"/>
        <v>711.55</v>
      </c>
      <c r="D207" s="50">
        <f>532*1.07</f>
        <v>569.24</v>
      </c>
    </row>
    <row r="208" spans="1:4" ht="27.75">
      <c r="A208" s="36">
        <v>24</v>
      </c>
      <c r="B208" s="21" t="s">
        <v>429</v>
      </c>
      <c r="C208" s="49">
        <f t="shared" si="5"/>
        <v>711.55</v>
      </c>
      <c r="D208" s="50">
        <f>532*1.07</f>
        <v>569.24</v>
      </c>
    </row>
    <row r="209" spans="1:4" ht="27.75">
      <c r="A209" s="36">
        <v>25</v>
      </c>
      <c r="B209" s="21" t="s">
        <v>430</v>
      </c>
      <c r="C209" s="49">
        <f t="shared" si="5"/>
        <v>711.55</v>
      </c>
      <c r="D209" s="50">
        <f>532*1.07</f>
        <v>569.24</v>
      </c>
    </row>
    <row r="210" spans="1:4" ht="27.75">
      <c r="A210" s="36"/>
      <c r="B210" s="26" t="s">
        <v>431</v>
      </c>
      <c r="C210" s="49"/>
      <c r="D210" s="50"/>
    </row>
    <row r="211" spans="1:4" ht="27.75">
      <c r="A211" s="36">
        <v>1</v>
      </c>
      <c r="B211" s="21" t="s">
        <v>525</v>
      </c>
      <c r="C211" s="49">
        <f t="shared" si="5"/>
        <v>652.7</v>
      </c>
      <c r="D211" s="50">
        <f>488*1.07</f>
        <v>522.1600000000001</v>
      </c>
    </row>
    <row r="212" spans="1:4" ht="27.75">
      <c r="A212" s="36">
        <v>2</v>
      </c>
      <c r="B212" s="13" t="s">
        <v>689</v>
      </c>
      <c r="C212" s="51">
        <f>D212*1.25</f>
        <v>77.575</v>
      </c>
      <c r="D212" s="50">
        <f>58*1.07</f>
        <v>62.06</v>
      </c>
    </row>
    <row r="213" spans="1:4" ht="27.75">
      <c r="A213" s="36">
        <v>3</v>
      </c>
      <c r="B213" s="22" t="s">
        <v>690</v>
      </c>
      <c r="C213" s="51">
        <f>D213*1.25</f>
        <v>161.8375</v>
      </c>
      <c r="D213" s="50">
        <f>121*1.07</f>
        <v>129.47</v>
      </c>
    </row>
    <row r="214" spans="1:4" ht="33.75" customHeight="1">
      <c r="A214" s="36">
        <v>4</v>
      </c>
      <c r="B214" s="23" t="s">
        <v>691</v>
      </c>
      <c r="C214" s="51">
        <f>D214*1.25</f>
        <v>366.475</v>
      </c>
      <c r="D214" s="50">
        <f>274*1.07</f>
        <v>293.18</v>
      </c>
    </row>
    <row r="215" spans="1:4" ht="33.75" customHeight="1">
      <c r="A215" s="36">
        <v>5</v>
      </c>
      <c r="B215" s="23" t="s">
        <v>692</v>
      </c>
      <c r="C215" s="51">
        <f>D215*1.25</f>
        <v>82.92500000000001</v>
      </c>
      <c r="D215" s="50">
        <f>62*1.07</f>
        <v>66.34</v>
      </c>
    </row>
    <row r="216" spans="1:4" ht="33.75" customHeight="1">
      <c r="A216" s="36">
        <v>6</v>
      </c>
      <c r="B216" s="21" t="s">
        <v>432</v>
      </c>
      <c r="C216" s="49">
        <f t="shared" si="5"/>
        <v>587.1625</v>
      </c>
      <c r="D216" s="50">
        <f>439*1.07</f>
        <v>469.73</v>
      </c>
    </row>
    <row r="217" spans="1:4" ht="27.75">
      <c r="A217" s="36">
        <v>7</v>
      </c>
      <c r="B217" s="21" t="s">
        <v>526</v>
      </c>
      <c r="C217" s="49">
        <f t="shared" si="5"/>
        <v>751.6750000000001</v>
      </c>
      <c r="D217" s="50">
        <f>562*1.07</f>
        <v>601.34</v>
      </c>
    </row>
    <row r="218" spans="1:4" s="8" customFormat="1" ht="30.75" customHeight="1">
      <c r="A218" s="40"/>
      <c r="B218" s="37" t="s">
        <v>433</v>
      </c>
      <c r="C218" s="49"/>
      <c r="D218" s="52"/>
    </row>
    <row r="219" spans="1:4" ht="27.75">
      <c r="A219" s="36">
        <v>1</v>
      </c>
      <c r="B219" s="21" t="s">
        <v>434</v>
      </c>
      <c r="C219" s="49">
        <f t="shared" si="5"/>
        <v>209.9875</v>
      </c>
      <c r="D219" s="50">
        <f>157*1.07</f>
        <v>167.99</v>
      </c>
    </row>
    <row r="220" spans="1:4" ht="27" customHeight="1">
      <c r="A220" s="36">
        <v>2</v>
      </c>
      <c r="B220" s="21" t="s">
        <v>435</v>
      </c>
      <c r="C220" s="49">
        <f t="shared" si="5"/>
        <v>264.82500000000005</v>
      </c>
      <c r="D220" s="50">
        <f>198*1.07</f>
        <v>211.86</v>
      </c>
    </row>
    <row r="221" spans="1:4" ht="27" customHeight="1">
      <c r="A221" s="36">
        <v>3</v>
      </c>
      <c r="B221" s="21" t="s">
        <v>436</v>
      </c>
      <c r="C221" s="49">
        <f t="shared" si="5"/>
        <v>169.8625</v>
      </c>
      <c r="D221" s="50">
        <f>127*1.07</f>
        <v>135.89000000000001</v>
      </c>
    </row>
    <row r="222" spans="1:4" ht="27" customHeight="1">
      <c r="A222" s="36">
        <v>4</v>
      </c>
      <c r="B222" s="21" t="s">
        <v>437</v>
      </c>
      <c r="C222" s="49">
        <f aca="true" t="shared" si="6" ref="C222:C285">SUM(D222*1.25)</f>
        <v>145.78750000000002</v>
      </c>
      <c r="D222" s="50">
        <f>109*1.07</f>
        <v>116.63000000000001</v>
      </c>
    </row>
    <row r="223" spans="1:4" ht="27.75">
      <c r="A223" s="36">
        <v>5</v>
      </c>
      <c r="B223" s="21" t="s">
        <v>255</v>
      </c>
      <c r="C223" s="49">
        <f t="shared" si="6"/>
        <v>264.82500000000005</v>
      </c>
      <c r="D223" s="50">
        <f>198*1.07</f>
        <v>211.86</v>
      </c>
    </row>
    <row r="224" spans="1:4" ht="55.5">
      <c r="A224" s="36">
        <v>6</v>
      </c>
      <c r="B224" s="21" t="s">
        <v>438</v>
      </c>
      <c r="C224" s="49">
        <f t="shared" si="6"/>
        <v>264.82500000000005</v>
      </c>
      <c r="D224" s="50">
        <f>198*1.07</f>
        <v>211.86</v>
      </c>
    </row>
    <row r="225" spans="1:4" ht="27.75">
      <c r="A225" s="36">
        <v>7</v>
      </c>
      <c r="B225" s="21" t="s">
        <v>256</v>
      </c>
      <c r="C225" s="49">
        <f t="shared" si="6"/>
        <v>235.40000000000003</v>
      </c>
      <c r="D225" s="50">
        <f>176*1.07</f>
        <v>188.32000000000002</v>
      </c>
    </row>
    <row r="226" spans="1:4" ht="27.75">
      <c r="A226" s="36">
        <v>8</v>
      </c>
      <c r="B226" s="21" t="s">
        <v>257</v>
      </c>
      <c r="C226" s="49">
        <f t="shared" si="6"/>
        <v>329.02500000000003</v>
      </c>
      <c r="D226" s="50">
        <f>246*1.07</f>
        <v>263.22</v>
      </c>
    </row>
    <row r="227" spans="1:4" ht="27" customHeight="1">
      <c r="A227" s="36">
        <v>9</v>
      </c>
      <c r="B227" s="21" t="s">
        <v>527</v>
      </c>
      <c r="C227" s="49">
        <f t="shared" si="6"/>
        <v>422.65</v>
      </c>
      <c r="D227" s="50">
        <f>316*1.07</f>
        <v>338.12</v>
      </c>
    </row>
    <row r="228" spans="1:4" ht="27.75">
      <c r="A228" s="36">
        <v>10</v>
      </c>
      <c r="B228" s="21" t="s">
        <v>439</v>
      </c>
      <c r="C228" s="49">
        <f t="shared" si="6"/>
        <v>498.88750000000005</v>
      </c>
      <c r="D228" s="50">
        <f>373*1.07</f>
        <v>399.11</v>
      </c>
    </row>
    <row r="229" spans="1:4" ht="27.75">
      <c r="A229" s="36">
        <v>11</v>
      </c>
      <c r="B229" s="21" t="s">
        <v>440</v>
      </c>
      <c r="C229" s="49">
        <f t="shared" si="6"/>
        <v>646.0125</v>
      </c>
      <c r="D229" s="50">
        <f>483*1.07</f>
        <v>516.8100000000001</v>
      </c>
    </row>
    <row r="230" spans="1:4" ht="27.75">
      <c r="A230" s="36">
        <v>12</v>
      </c>
      <c r="B230" s="21" t="s">
        <v>441</v>
      </c>
      <c r="C230" s="49">
        <f t="shared" si="6"/>
        <v>1976.825</v>
      </c>
      <c r="D230" s="50">
        <f>1478*1.07</f>
        <v>1581.46</v>
      </c>
    </row>
    <row r="231" spans="1:4" ht="27.75">
      <c r="A231" s="36">
        <v>13</v>
      </c>
      <c r="B231" s="21" t="s">
        <v>258</v>
      </c>
      <c r="C231" s="49">
        <f t="shared" si="6"/>
        <v>1420.4250000000002</v>
      </c>
      <c r="D231" s="50">
        <f>1062*1.07</f>
        <v>1136.3400000000001</v>
      </c>
    </row>
    <row r="232" spans="1:4" ht="27.75">
      <c r="A232" s="36">
        <v>14</v>
      </c>
      <c r="B232" s="21" t="s">
        <v>442</v>
      </c>
      <c r="C232" s="49">
        <f t="shared" si="6"/>
        <v>536.3375000000001</v>
      </c>
      <c r="D232" s="50">
        <f>401*1.07</f>
        <v>429.07000000000005</v>
      </c>
    </row>
    <row r="233" spans="1:4" ht="31.5" customHeight="1">
      <c r="A233" s="36">
        <v>15</v>
      </c>
      <c r="B233" s="21" t="s">
        <v>443</v>
      </c>
      <c r="C233" s="49">
        <f t="shared" si="6"/>
        <v>597.8625000000001</v>
      </c>
      <c r="D233" s="50">
        <f>447*1.07</f>
        <v>478.29</v>
      </c>
    </row>
    <row r="234" spans="1:4" ht="31.5" customHeight="1">
      <c r="A234" s="36">
        <v>16</v>
      </c>
      <c r="B234" s="21" t="s">
        <v>444</v>
      </c>
      <c r="C234" s="49">
        <f t="shared" si="6"/>
        <v>564.4250000000001</v>
      </c>
      <c r="D234" s="50">
        <f>422*1.07</f>
        <v>451.54</v>
      </c>
    </row>
    <row r="235" spans="1:4" ht="29.25" customHeight="1">
      <c r="A235" s="36">
        <v>17</v>
      </c>
      <c r="B235" s="21" t="s">
        <v>445</v>
      </c>
      <c r="C235" s="49">
        <f t="shared" si="6"/>
        <v>627.2875</v>
      </c>
      <c r="D235" s="50">
        <f>469*1.07</f>
        <v>501.83000000000004</v>
      </c>
    </row>
    <row r="236" spans="1:4" ht="27" customHeight="1">
      <c r="A236" s="36">
        <v>18</v>
      </c>
      <c r="B236" s="21" t="s">
        <v>446</v>
      </c>
      <c r="C236" s="49">
        <f t="shared" si="6"/>
        <v>482.83750000000003</v>
      </c>
      <c r="D236" s="50">
        <f>361*1.07</f>
        <v>386.27000000000004</v>
      </c>
    </row>
    <row r="237" spans="1:4" ht="29.25" customHeight="1">
      <c r="A237" s="36">
        <v>19</v>
      </c>
      <c r="B237" s="21" t="s">
        <v>447</v>
      </c>
      <c r="C237" s="49">
        <f t="shared" si="6"/>
        <v>422.65</v>
      </c>
      <c r="D237" s="50">
        <f>316*1.07</f>
        <v>338.12</v>
      </c>
    </row>
    <row r="238" spans="1:4" ht="31.5" customHeight="1">
      <c r="A238" s="36">
        <v>20</v>
      </c>
      <c r="B238" s="21" t="s">
        <v>259</v>
      </c>
      <c r="C238" s="49">
        <f t="shared" si="6"/>
        <v>569.7750000000001</v>
      </c>
      <c r="D238" s="50">
        <f>426*1.07</f>
        <v>455.82000000000005</v>
      </c>
    </row>
    <row r="239" spans="1:4" ht="31.5" customHeight="1">
      <c r="A239" s="36">
        <v>21</v>
      </c>
      <c r="B239" s="21" t="s">
        <v>448</v>
      </c>
      <c r="C239" s="49">
        <f t="shared" si="6"/>
        <v>575.125</v>
      </c>
      <c r="D239" s="50">
        <f>430*1.07</f>
        <v>460.1</v>
      </c>
    </row>
    <row r="240" spans="1:4" ht="31.5" customHeight="1">
      <c r="A240" s="36">
        <v>22</v>
      </c>
      <c r="B240" s="21" t="s">
        <v>449</v>
      </c>
      <c r="C240" s="49">
        <f t="shared" si="6"/>
        <v>365.13750000000005</v>
      </c>
      <c r="D240" s="50">
        <f>273*1.07</f>
        <v>292.11</v>
      </c>
    </row>
    <row r="241" spans="1:4" ht="31.5" customHeight="1">
      <c r="A241" s="36">
        <v>23</v>
      </c>
      <c r="B241" s="21" t="s">
        <v>450</v>
      </c>
      <c r="C241" s="49">
        <f t="shared" si="6"/>
        <v>422.65</v>
      </c>
      <c r="D241" s="50">
        <f>316*1.07</f>
        <v>338.12</v>
      </c>
    </row>
    <row r="242" spans="1:4" ht="57.75" customHeight="1">
      <c r="A242" s="36">
        <v>24</v>
      </c>
      <c r="B242" s="21" t="s">
        <v>451</v>
      </c>
      <c r="C242" s="49">
        <f t="shared" si="6"/>
        <v>1614.3625</v>
      </c>
      <c r="D242" s="50">
        <f>1207*1.07</f>
        <v>1291.49</v>
      </c>
    </row>
    <row r="243" spans="1:4" ht="33" customHeight="1">
      <c r="A243" s="36">
        <v>25</v>
      </c>
      <c r="B243" s="21" t="s">
        <v>452</v>
      </c>
      <c r="C243" s="49">
        <f t="shared" si="6"/>
        <v>716.9</v>
      </c>
      <c r="D243" s="50">
        <f>536*1.07</f>
        <v>573.52</v>
      </c>
    </row>
    <row r="244" spans="1:4" ht="27.75" customHeight="1">
      <c r="A244" s="36">
        <v>26</v>
      </c>
      <c r="B244" s="21" t="s">
        <v>453</v>
      </c>
      <c r="C244" s="49">
        <f t="shared" si="6"/>
        <v>1564.875</v>
      </c>
      <c r="D244" s="50">
        <f>1170*1.07</f>
        <v>1251.9</v>
      </c>
    </row>
    <row r="245" spans="1:4" ht="27.75" customHeight="1">
      <c r="A245" s="36">
        <v>27</v>
      </c>
      <c r="B245" s="21" t="s">
        <v>454</v>
      </c>
      <c r="C245" s="49">
        <f t="shared" si="6"/>
        <v>1456.5375</v>
      </c>
      <c r="D245" s="50">
        <f>1089*1.07</f>
        <v>1165.23</v>
      </c>
    </row>
    <row r="246" spans="1:4" ht="30.75" customHeight="1">
      <c r="A246" s="36">
        <v>28</v>
      </c>
      <c r="B246" s="21" t="s">
        <v>528</v>
      </c>
      <c r="C246" s="49">
        <f t="shared" si="6"/>
        <v>232.72500000000002</v>
      </c>
      <c r="D246" s="50">
        <f>174*1.07</f>
        <v>186.18</v>
      </c>
    </row>
    <row r="247" spans="1:4" ht="30.75" customHeight="1">
      <c r="A247" s="36">
        <v>29</v>
      </c>
      <c r="B247" s="21" t="s">
        <v>260</v>
      </c>
      <c r="C247" s="49">
        <f t="shared" si="6"/>
        <v>834.6000000000001</v>
      </c>
      <c r="D247" s="50">
        <f>624*1.07</f>
        <v>667.6800000000001</v>
      </c>
    </row>
    <row r="248" spans="1:4" ht="27.75" customHeight="1">
      <c r="A248" s="36">
        <v>30</v>
      </c>
      <c r="B248" s="21" t="s">
        <v>261</v>
      </c>
      <c r="C248" s="49">
        <f t="shared" si="6"/>
        <v>851.9875000000001</v>
      </c>
      <c r="D248" s="50">
        <f>637*1.07</f>
        <v>681.59</v>
      </c>
    </row>
    <row r="249" spans="1:4" ht="27.75" customHeight="1">
      <c r="A249" s="36">
        <v>31</v>
      </c>
      <c r="B249" s="21" t="s">
        <v>262</v>
      </c>
      <c r="C249" s="49">
        <f t="shared" si="6"/>
        <v>300.9375</v>
      </c>
      <c r="D249" s="50">
        <f>225*1.07</f>
        <v>240.75</v>
      </c>
    </row>
    <row r="250" spans="1:4" ht="27.75" customHeight="1">
      <c r="A250" s="36">
        <v>32</v>
      </c>
      <c r="B250" s="21" t="s">
        <v>263</v>
      </c>
      <c r="C250" s="49">
        <f t="shared" si="6"/>
        <v>322.3375</v>
      </c>
      <c r="D250" s="50">
        <f>241*1.07</f>
        <v>257.87</v>
      </c>
    </row>
    <row r="251" spans="1:4" ht="30" customHeight="1">
      <c r="A251" s="36">
        <v>33</v>
      </c>
      <c r="B251" s="21" t="s">
        <v>455</v>
      </c>
      <c r="C251" s="49">
        <f t="shared" si="6"/>
        <v>642</v>
      </c>
      <c r="D251" s="50">
        <f>480*1.07</f>
        <v>513.6</v>
      </c>
    </row>
    <row r="252" spans="1:4" ht="30" customHeight="1">
      <c r="A252" s="36">
        <v>34</v>
      </c>
      <c r="B252" s="21" t="s">
        <v>456</v>
      </c>
      <c r="C252" s="49">
        <f t="shared" si="6"/>
        <v>937.5875000000001</v>
      </c>
      <c r="D252" s="50">
        <f>701*1.07</f>
        <v>750.07</v>
      </c>
    </row>
    <row r="253" spans="1:4" ht="52.5" customHeight="1">
      <c r="A253" s="36">
        <v>35</v>
      </c>
      <c r="B253" s="21" t="s">
        <v>457</v>
      </c>
      <c r="C253" s="49">
        <f t="shared" si="6"/>
        <v>1535.4500000000003</v>
      </c>
      <c r="D253" s="50">
        <f>1148*1.07</f>
        <v>1228.3600000000001</v>
      </c>
    </row>
    <row r="254" spans="1:4" ht="30" customHeight="1">
      <c r="A254" s="36">
        <v>36</v>
      </c>
      <c r="B254" s="21" t="s">
        <v>529</v>
      </c>
      <c r="C254" s="49">
        <f t="shared" si="6"/>
        <v>465.45000000000005</v>
      </c>
      <c r="D254" s="50">
        <f>348*1.07</f>
        <v>372.36</v>
      </c>
    </row>
    <row r="255" spans="1:4" ht="30" customHeight="1">
      <c r="A255" s="36">
        <v>37</v>
      </c>
      <c r="B255" s="21" t="s">
        <v>458</v>
      </c>
      <c r="C255" s="49">
        <f t="shared" si="6"/>
        <v>766.3875</v>
      </c>
      <c r="D255" s="50">
        <f>573*1.07</f>
        <v>613.11</v>
      </c>
    </row>
    <row r="256" spans="1:4" ht="30" customHeight="1">
      <c r="A256" s="36">
        <v>38</v>
      </c>
      <c r="B256" s="21" t="s">
        <v>459</v>
      </c>
      <c r="C256" s="49">
        <f t="shared" si="6"/>
        <v>346.4125</v>
      </c>
      <c r="D256" s="50">
        <f>259*1.07</f>
        <v>277.13</v>
      </c>
    </row>
    <row r="257" spans="1:4" ht="27.75">
      <c r="A257" s="36"/>
      <c r="B257" s="26" t="s">
        <v>460</v>
      </c>
      <c r="C257" s="49"/>
      <c r="D257" s="50"/>
    </row>
    <row r="258" spans="1:4" ht="27.75">
      <c r="A258" s="36">
        <v>1</v>
      </c>
      <c r="B258" s="21" t="s">
        <v>461</v>
      </c>
      <c r="C258" s="49">
        <f t="shared" si="6"/>
        <v>284.88750000000005</v>
      </c>
      <c r="D258" s="50">
        <f>213*1.07</f>
        <v>227.91000000000003</v>
      </c>
    </row>
    <row r="259" spans="1:4" ht="27.75">
      <c r="A259" s="36">
        <v>2</v>
      </c>
      <c r="B259" s="21" t="s">
        <v>462</v>
      </c>
      <c r="C259" s="49">
        <f t="shared" si="6"/>
        <v>284.88750000000005</v>
      </c>
      <c r="D259" s="50">
        <f>213*1.07</f>
        <v>227.91000000000003</v>
      </c>
    </row>
    <row r="260" spans="1:4" ht="27.75">
      <c r="A260" s="36"/>
      <c r="B260" s="26" t="s">
        <v>463</v>
      </c>
      <c r="C260" s="49"/>
      <c r="D260" s="50"/>
    </row>
    <row r="261" spans="1:4" ht="27.75">
      <c r="A261" s="36">
        <v>1</v>
      </c>
      <c r="B261" s="21" t="s">
        <v>464</v>
      </c>
      <c r="C261" s="49">
        <f t="shared" si="6"/>
        <v>1695.95</v>
      </c>
      <c r="D261" s="50">
        <f>1268*1.07</f>
        <v>1356.76</v>
      </c>
    </row>
    <row r="262" spans="1:4" ht="27.75">
      <c r="A262" s="36">
        <v>2</v>
      </c>
      <c r="B262" s="21" t="s">
        <v>465</v>
      </c>
      <c r="C262" s="49">
        <f t="shared" si="6"/>
        <v>1344.1875000000002</v>
      </c>
      <c r="D262" s="50">
        <f>1005*1.07</f>
        <v>1075.3500000000001</v>
      </c>
    </row>
    <row r="263" spans="1:4" ht="27.75">
      <c r="A263" s="36">
        <v>3</v>
      </c>
      <c r="B263" s="21" t="s">
        <v>514</v>
      </c>
      <c r="C263" s="49">
        <f t="shared" si="6"/>
        <v>82.92500000000001</v>
      </c>
      <c r="D263" s="50">
        <f>62*1.07</f>
        <v>66.34</v>
      </c>
    </row>
    <row r="264" spans="1:4" ht="29.25" customHeight="1">
      <c r="A264" s="36">
        <v>4</v>
      </c>
      <c r="B264" s="21" t="s">
        <v>466</v>
      </c>
      <c r="C264" s="49">
        <f t="shared" si="6"/>
        <v>561.75</v>
      </c>
      <c r="D264" s="50">
        <f>420*1.07</f>
        <v>449.40000000000003</v>
      </c>
    </row>
    <row r="265" spans="1:4" s="8" customFormat="1" ht="27.75">
      <c r="A265" s="40"/>
      <c r="B265" s="42" t="s">
        <v>467</v>
      </c>
      <c r="C265" s="49"/>
      <c r="D265" s="52"/>
    </row>
    <row r="266" spans="1:4" ht="33" customHeight="1">
      <c r="A266" s="36">
        <v>1</v>
      </c>
      <c r="B266" s="21" t="s">
        <v>468</v>
      </c>
      <c r="C266" s="49">
        <f t="shared" si="6"/>
        <v>593.85</v>
      </c>
      <c r="D266" s="53">
        <f>444*1.07</f>
        <v>475.08000000000004</v>
      </c>
    </row>
    <row r="267" spans="1:4" ht="33" customHeight="1">
      <c r="A267" s="36">
        <v>2</v>
      </c>
      <c r="B267" s="21" t="s">
        <v>469</v>
      </c>
      <c r="C267" s="49">
        <f t="shared" si="6"/>
        <v>754.35</v>
      </c>
      <c r="D267" s="53">
        <f>564*1.07</f>
        <v>603.48</v>
      </c>
    </row>
    <row r="268" spans="1:4" ht="57" customHeight="1">
      <c r="A268" s="36">
        <v>3</v>
      </c>
      <c r="B268" s="21" t="s">
        <v>470</v>
      </c>
      <c r="C268" s="49">
        <f t="shared" si="6"/>
        <v>2408.8375</v>
      </c>
      <c r="D268" s="53">
        <f>1801*1.07</f>
        <v>1927.0700000000002</v>
      </c>
    </row>
    <row r="269" spans="1:4" ht="28.5" customHeight="1">
      <c r="A269" s="36">
        <v>4</v>
      </c>
      <c r="B269" s="21" t="s">
        <v>530</v>
      </c>
      <c r="C269" s="49">
        <f t="shared" si="6"/>
        <v>461.43750000000006</v>
      </c>
      <c r="D269" s="54">
        <f>345*1.07</f>
        <v>369.15000000000003</v>
      </c>
    </row>
    <row r="270" spans="1:4" ht="28.5" customHeight="1">
      <c r="A270" s="36">
        <v>5</v>
      </c>
      <c r="B270" s="21" t="s">
        <v>531</v>
      </c>
      <c r="C270" s="49">
        <f t="shared" si="6"/>
        <v>532.325</v>
      </c>
      <c r="D270" s="54">
        <f>398*1.07</f>
        <v>425.86</v>
      </c>
    </row>
    <row r="271" spans="1:4" ht="28.5" customHeight="1">
      <c r="A271" s="36">
        <v>6</v>
      </c>
      <c r="B271" s="21" t="s">
        <v>532</v>
      </c>
      <c r="C271" s="49">
        <f t="shared" si="6"/>
        <v>1231.8375</v>
      </c>
      <c r="D271" s="53">
        <f>921*1.07</f>
        <v>985.47</v>
      </c>
    </row>
    <row r="272" spans="1:4" ht="28.5" customHeight="1">
      <c r="A272" s="36">
        <v>7</v>
      </c>
      <c r="B272" s="21" t="s">
        <v>533</v>
      </c>
      <c r="C272" s="49">
        <f t="shared" si="6"/>
        <v>588.5</v>
      </c>
      <c r="D272" s="54">
        <f>440*1.07</f>
        <v>470.8</v>
      </c>
    </row>
    <row r="273" spans="1:4" ht="28.5" customHeight="1">
      <c r="A273" s="36">
        <v>8</v>
      </c>
      <c r="B273" s="21" t="s">
        <v>471</v>
      </c>
      <c r="C273" s="49">
        <f t="shared" si="6"/>
        <v>991.0875</v>
      </c>
      <c r="D273" s="53">
        <f>741*1.07</f>
        <v>792.87</v>
      </c>
    </row>
    <row r="274" spans="1:4" ht="28.5" customHeight="1">
      <c r="A274" s="36">
        <v>9</v>
      </c>
      <c r="B274" s="21" t="s">
        <v>472</v>
      </c>
      <c r="C274" s="49">
        <f t="shared" si="6"/>
        <v>1072.6750000000002</v>
      </c>
      <c r="D274" s="53">
        <f>802*1.07</f>
        <v>858.1400000000001</v>
      </c>
    </row>
    <row r="275" spans="1:4" ht="28.5" customHeight="1">
      <c r="A275" s="36">
        <v>10</v>
      </c>
      <c r="B275" s="21" t="s">
        <v>473</v>
      </c>
      <c r="C275" s="49">
        <f t="shared" si="6"/>
        <v>609.9</v>
      </c>
      <c r="D275" s="54">
        <f>456*1.07</f>
        <v>487.92</v>
      </c>
    </row>
    <row r="276" spans="1:4" ht="29.25" customHeight="1">
      <c r="A276" s="36">
        <v>11</v>
      </c>
      <c r="B276" s="21" t="s">
        <v>474</v>
      </c>
      <c r="C276" s="49">
        <f t="shared" si="6"/>
        <v>686.1375</v>
      </c>
      <c r="D276" s="54">
        <f>513*1.07</f>
        <v>548.9100000000001</v>
      </c>
    </row>
    <row r="277" spans="1:4" ht="29.25" customHeight="1">
      <c r="A277" s="36">
        <v>12</v>
      </c>
      <c r="B277" s="21" t="s">
        <v>726</v>
      </c>
      <c r="C277" s="49">
        <f t="shared" si="6"/>
        <v>914.85</v>
      </c>
      <c r="D277" s="54">
        <f>684*1.07</f>
        <v>731.88</v>
      </c>
    </row>
    <row r="278" spans="1:4" ht="29.25" customHeight="1">
      <c r="A278" s="36">
        <v>13</v>
      </c>
      <c r="B278" s="21" t="s">
        <v>727</v>
      </c>
      <c r="C278" s="49">
        <f t="shared" si="6"/>
        <v>914.85</v>
      </c>
      <c r="D278" s="54">
        <f>684*1.07</f>
        <v>731.88</v>
      </c>
    </row>
    <row r="279" spans="1:4" ht="27.75" customHeight="1">
      <c r="A279" s="36">
        <v>14</v>
      </c>
      <c r="B279" s="21" t="s">
        <v>475</v>
      </c>
      <c r="C279" s="49">
        <f t="shared" si="6"/>
        <v>461.43750000000006</v>
      </c>
      <c r="D279" s="54">
        <f>345*1.07</f>
        <v>369.15000000000003</v>
      </c>
    </row>
    <row r="280" spans="1:4" ht="30" customHeight="1">
      <c r="A280" s="36">
        <v>15</v>
      </c>
      <c r="B280" s="21" t="s">
        <v>728</v>
      </c>
      <c r="C280" s="49">
        <f t="shared" si="6"/>
        <v>686.1375</v>
      </c>
      <c r="D280" s="54">
        <f>513*1.07</f>
        <v>548.9100000000001</v>
      </c>
    </row>
    <row r="281" spans="1:4" ht="27.75" customHeight="1">
      <c r="A281" s="36">
        <v>16</v>
      </c>
      <c r="B281" s="21" t="s">
        <v>476</v>
      </c>
      <c r="C281" s="49">
        <f t="shared" si="6"/>
        <v>686.1375</v>
      </c>
      <c r="D281" s="54">
        <f>513*1.07</f>
        <v>548.9100000000001</v>
      </c>
    </row>
    <row r="282" spans="1:4" ht="29.25" customHeight="1">
      <c r="A282" s="36">
        <v>17</v>
      </c>
      <c r="B282" s="21" t="s">
        <v>729</v>
      </c>
      <c r="C282" s="49">
        <f t="shared" si="6"/>
        <v>914.85</v>
      </c>
      <c r="D282" s="54">
        <f>684*1.07</f>
        <v>731.88</v>
      </c>
    </row>
    <row r="283" spans="1:4" ht="29.25" customHeight="1">
      <c r="A283" s="36">
        <v>18</v>
      </c>
      <c r="B283" s="21" t="s">
        <v>477</v>
      </c>
      <c r="C283" s="49">
        <f t="shared" si="6"/>
        <v>572.45</v>
      </c>
      <c r="D283" s="53">
        <f>428*1.07</f>
        <v>457.96000000000004</v>
      </c>
    </row>
    <row r="284" spans="1:4" ht="29.25" customHeight="1">
      <c r="A284" s="36">
        <v>19</v>
      </c>
      <c r="B284" s="21" t="s">
        <v>730</v>
      </c>
      <c r="C284" s="49">
        <f t="shared" si="6"/>
        <v>810.5250000000001</v>
      </c>
      <c r="D284" s="53">
        <f>606*1.07</f>
        <v>648.4200000000001</v>
      </c>
    </row>
    <row r="285" spans="1:4" ht="27" customHeight="1">
      <c r="A285" s="36">
        <v>20</v>
      </c>
      <c r="B285" s="21" t="s">
        <v>478</v>
      </c>
      <c r="C285" s="49">
        <f t="shared" si="6"/>
        <v>651.3625000000001</v>
      </c>
      <c r="D285" s="53">
        <f>487*1.07</f>
        <v>521.09</v>
      </c>
    </row>
    <row r="286" spans="1:4" ht="27.75" customHeight="1">
      <c r="A286" s="36">
        <v>21</v>
      </c>
      <c r="B286" s="21" t="s">
        <v>731</v>
      </c>
      <c r="C286" s="49">
        <f aca="true" t="shared" si="7" ref="C286:C336">SUM(D286*1.25)</f>
        <v>379.85</v>
      </c>
      <c r="D286" s="54">
        <f>284*1.07</f>
        <v>303.88</v>
      </c>
    </row>
    <row r="287" spans="1:4" ht="27.75" customHeight="1">
      <c r="A287" s="36">
        <v>22</v>
      </c>
      <c r="B287" s="21" t="s">
        <v>479</v>
      </c>
      <c r="C287" s="49">
        <f t="shared" si="7"/>
        <v>1128.8500000000001</v>
      </c>
      <c r="D287" s="53">
        <f>844*1.07</f>
        <v>903.08</v>
      </c>
    </row>
    <row r="288" spans="1:4" ht="27.75" customHeight="1">
      <c r="A288" s="36">
        <v>23</v>
      </c>
      <c r="B288" s="21" t="s">
        <v>732</v>
      </c>
      <c r="C288" s="49">
        <f t="shared" si="7"/>
        <v>1607.6750000000002</v>
      </c>
      <c r="D288" s="53">
        <f>1202*1.07</f>
        <v>1286.14</v>
      </c>
    </row>
    <row r="289" spans="1:4" ht="27.75" customHeight="1">
      <c r="A289" s="36">
        <v>24</v>
      </c>
      <c r="B289" s="21" t="s">
        <v>480</v>
      </c>
      <c r="C289" s="49">
        <f t="shared" si="7"/>
        <v>1389.6625</v>
      </c>
      <c r="D289" s="53">
        <f>1039*1.07</f>
        <v>1111.73</v>
      </c>
    </row>
    <row r="290" spans="1:4" ht="27.75" customHeight="1">
      <c r="A290" s="36">
        <v>25</v>
      </c>
      <c r="B290" s="21" t="s">
        <v>733</v>
      </c>
      <c r="C290" s="49">
        <f t="shared" si="7"/>
        <v>1140.8875</v>
      </c>
      <c r="D290" s="54">
        <f>853*1.07</f>
        <v>912.71</v>
      </c>
    </row>
    <row r="291" spans="1:4" ht="27.75" customHeight="1">
      <c r="A291" s="36">
        <v>26</v>
      </c>
      <c r="B291" s="21" t="s">
        <v>481</v>
      </c>
      <c r="C291" s="49">
        <f t="shared" si="7"/>
        <v>1762.825</v>
      </c>
      <c r="D291" s="53">
        <f>1318*1.07</f>
        <v>1410.26</v>
      </c>
    </row>
    <row r="292" spans="1:4" ht="53.25" customHeight="1">
      <c r="A292" s="36">
        <v>27</v>
      </c>
      <c r="B292" s="21" t="s">
        <v>734</v>
      </c>
      <c r="C292" s="49">
        <f t="shared" si="7"/>
        <v>2558.6375000000003</v>
      </c>
      <c r="D292" s="53">
        <f>1913*1.07</f>
        <v>2046.91</v>
      </c>
    </row>
    <row r="293" spans="1:4" ht="53.25" customHeight="1">
      <c r="A293" s="36">
        <v>28</v>
      </c>
      <c r="B293" s="21" t="s">
        <v>735</v>
      </c>
      <c r="C293" s="49">
        <f t="shared" si="7"/>
        <v>761.0375</v>
      </c>
      <c r="D293" s="54">
        <f>569*1.07</f>
        <v>608.83</v>
      </c>
    </row>
    <row r="294" spans="1:4" ht="53.25" customHeight="1">
      <c r="A294" s="36">
        <v>29</v>
      </c>
      <c r="B294" s="21" t="s">
        <v>736</v>
      </c>
      <c r="C294" s="49">
        <f t="shared" si="7"/>
        <v>457.425</v>
      </c>
      <c r="D294" s="54">
        <f>342*1.07</f>
        <v>365.94</v>
      </c>
    </row>
    <row r="295" spans="1:4" ht="53.25" customHeight="1">
      <c r="A295" s="36">
        <v>30</v>
      </c>
      <c r="B295" s="21" t="s">
        <v>737</v>
      </c>
      <c r="C295" s="49">
        <f t="shared" si="7"/>
        <v>228.7125</v>
      </c>
      <c r="D295" s="54">
        <f>171*1.07</f>
        <v>182.97</v>
      </c>
    </row>
    <row r="296" spans="1:4" ht="53.25" customHeight="1">
      <c r="A296" s="36">
        <v>31</v>
      </c>
      <c r="B296" s="21" t="s">
        <v>738</v>
      </c>
      <c r="C296" s="49">
        <f t="shared" si="7"/>
        <v>379.85</v>
      </c>
      <c r="D296" s="54">
        <f>284*1.07</f>
        <v>303.88</v>
      </c>
    </row>
    <row r="297" spans="1:4" ht="53.25" customHeight="1">
      <c r="A297" s="36">
        <v>32</v>
      </c>
      <c r="B297" s="21" t="s">
        <v>739</v>
      </c>
      <c r="C297" s="49">
        <f t="shared" si="7"/>
        <v>307.625</v>
      </c>
      <c r="D297" s="54">
        <f>230*1.07</f>
        <v>246.10000000000002</v>
      </c>
    </row>
    <row r="298" spans="1:4" s="8" customFormat="1" ht="27.75">
      <c r="A298" s="36"/>
      <c r="B298" s="37" t="s">
        <v>698</v>
      </c>
      <c r="C298" s="49"/>
      <c r="D298" s="55"/>
    </row>
    <row r="299" spans="1:4" ht="54.75" customHeight="1">
      <c r="A299" s="36">
        <v>1</v>
      </c>
      <c r="B299" s="21" t="s">
        <v>703</v>
      </c>
      <c r="C299" s="49">
        <f t="shared" si="7"/>
        <v>183.2375</v>
      </c>
      <c r="D299" s="56">
        <f>137*1.07</f>
        <v>146.59</v>
      </c>
    </row>
    <row r="300" spans="1:4" ht="27.75" customHeight="1">
      <c r="A300" s="36">
        <v>2</v>
      </c>
      <c r="B300" s="21" t="s">
        <v>482</v>
      </c>
      <c r="C300" s="49">
        <f t="shared" si="7"/>
        <v>183.2375</v>
      </c>
      <c r="D300" s="56">
        <f>137*1.07</f>
        <v>146.59</v>
      </c>
    </row>
    <row r="301" spans="1:4" ht="27.75" customHeight="1">
      <c r="A301" s="36">
        <v>3</v>
      </c>
      <c r="B301" s="21" t="s">
        <v>704</v>
      </c>
      <c r="C301" s="49">
        <f t="shared" si="7"/>
        <v>214.00000000000003</v>
      </c>
      <c r="D301" s="56">
        <f>160*1.07</f>
        <v>171.20000000000002</v>
      </c>
    </row>
    <row r="302" spans="1:4" ht="29.25" customHeight="1">
      <c r="A302" s="36">
        <v>4</v>
      </c>
      <c r="B302" s="21" t="s">
        <v>483</v>
      </c>
      <c r="C302" s="49">
        <f t="shared" si="7"/>
        <v>346.4125</v>
      </c>
      <c r="D302" s="56">
        <f>259*1.07</f>
        <v>277.13</v>
      </c>
    </row>
    <row r="303" spans="1:4" ht="27.75">
      <c r="A303" s="36">
        <v>5</v>
      </c>
      <c r="B303" s="21" t="s">
        <v>484</v>
      </c>
      <c r="C303" s="49">
        <f t="shared" si="7"/>
        <v>89.6125</v>
      </c>
      <c r="D303" s="56">
        <f>67*1.07</f>
        <v>71.69</v>
      </c>
    </row>
    <row r="304" spans="1:4" ht="27.75">
      <c r="A304" s="36">
        <v>6</v>
      </c>
      <c r="B304" s="21" t="s">
        <v>485</v>
      </c>
      <c r="C304" s="49">
        <f t="shared" si="7"/>
        <v>109.67500000000001</v>
      </c>
      <c r="D304" s="56">
        <f>82*1.07</f>
        <v>87.74000000000001</v>
      </c>
    </row>
    <row r="305" spans="1:4" ht="27.75">
      <c r="A305" s="36">
        <v>7</v>
      </c>
      <c r="B305" s="21" t="s">
        <v>486</v>
      </c>
      <c r="C305" s="49">
        <f t="shared" si="7"/>
        <v>171.20000000000002</v>
      </c>
      <c r="D305" s="56">
        <f>128*1.07</f>
        <v>136.96</v>
      </c>
    </row>
    <row r="306" spans="1:4" ht="27.75">
      <c r="A306" s="36">
        <v>8</v>
      </c>
      <c r="B306" s="21" t="s">
        <v>487</v>
      </c>
      <c r="C306" s="49">
        <f t="shared" si="7"/>
        <v>132.41250000000002</v>
      </c>
      <c r="D306" s="56">
        <f>99*1.07</f>
        <v>105.93</v>
      </c>
    </row>
    <row r="307" spans="1:4" ht="28.5" customHeight="1">
      <c r="A307" s="36">
        <v>9</v>
      </c>
      <c r="B307" s="21" t="s">
        <v>488</v>
      </c>
      <c r="C307" s="49">
        <f t="shared" si="7"/>
        <v>389.2125</v>
      </c>
      <c r="D307" s="56">
        <f>291*1.07</f>
        <v>311.37</v>
      </c>
    </row>
    <row r="308" spans="1:4" ht="28.5" customHeight="1">
      <c r="A308" s="36">
        <v>10</v>
      </c>
      <c r="B308" s="21" t="s">
        <v>489</v>
      </c>
      <c r="C308" s="49">
        <f t="shared" si="7"/>
        <v>157.82500000000002</v>
      </c>
      <c r="D308" s="56">
        <f>118*1.07</f>
        <v>126.26</v>
      </c>
    </row>
    <row r="309" spans="1:4" ht="28.5" customHeight="1">
      <c r="A309" s="36">
        <v>11</v>
      </c>
      <c r="B309" s="21" t="s">
        <v>490</v>
      </c>
      <c r="C309" s="49">
        <f t="shared" si="7"/>
        <v>173.875</v>
      </c>
      <c r="D309" s="56">
        <f>130*1.07</f>
        <v>139.1</v>
      </c>
    </row>
    <row r="310" spans="1:4" ht="28.5" customHeight="1">
      <c r="A310" s="36">
        <v>12</v>
      </c>
      <c r="B310" s="21" t="s">
        <v>534</v>
      </c>
      <c r="C310" s="49">
        <f t="shared" si="7"/>
        <v>246.10000000000002</v>
      </c>
      <c r="D310" s="56">
        <f>184*1.07</f>
        <v>196.88000000000002</v>
      </c>
    </row>
    <row r="311" spans="1:4" ht="28.5" customHeight="1">
      <c r="A311" s="36"/>
      <c r="B311" s="26" t="s">
        <v>491</v>
      </c>
      <c r="C311" s="49"/>
      <c r="D311" s="54"/>
    </row>
    <row r="312" spans="1:4" ht="27.75" customHeight="1">
      <c r="A312" s="36">
        <v>1</v>
      </c>
      <c r="B312" s="7" t="s">
        <v>535</v>
      </c>
      <c r="C312" s="49">
        <f t="shared" si="7"/>
        <v>358.45</v>
      </c>
      <c r="D312" s="56">
        <f>268*1.07</f>
        <v>286.76</v>
      </c>
    </row>
    <row r="313" spans="1:4" ht="27.75" customHeight="1">
      <c r="A313" s="36">
        <v>2</v>
      </c>
      <c r="B313" s="7" t="s">
        <v>536</v>
      </c>
      <c r="C313" s="49">
        <f t="shared" si="7"/>
        <v>366.475</v>
      </c>
      <c r="D313" s="56">
        <f>274*1.07</f>
        <v>293.18</v>
      </c>
    </row>
    <row r="314" spans="1:4" ht="27.75" customHeight="1">
      <c r="A314" s="36">
        <v>3</v>
      </c>
      <c r="B314" s="21" t="s">
        <v>492</v>
      </c>
      <c r="C314" s="49">
        <f t="shared" si="7"/>
        <v>147.125</v>
      </c>
      <c r="D314" s="56">
        <f>110*1.07</f>
        <v>117.7</v>
      </c>
    </row>
    <row r="315" spans="1:4" ht="27.75" customHeight="1">
      <c r="A315" s="36">
        <v>4</v>
      </c>
      <c r="B315" s="21" t="s">
        <v>493</v>
      </c>
      <c r="C315" s="49">
        <f t="shared" si="7"/>
        <v>164.51250000000002</v>
      </c>
      <c r="D315" s="56">
        <f>123*1.07</f>
        <v>131.61</v>
      </c>
    </row>
    <row r="316" spans="1:4" ht="27.75" customHeight="1">
      <c r="A316" s="36">
        <v>5</v>
      </c>
      <c r="B316" s="21" t="s">
        <v>494</v>
      </c>
      <c r="C316" s="49">
        <f t="shared" si="7"/>
        <v>137.76250000000002</v>
      </c>
      <c r="D316" s="56">
        <f>103*1.07</f>
        <v>110.21000000000001</v>
      </c>
    </row>
    <row r="317" spans="1:4" ht="27.75" customHeight="1">
      <c r="A317" s="36">
        <v>6</v>
      </c>
      <c r="B317" s="21" t="s">
        <v>495</v>
      </c>
      <c r="C317" s="49">
        <f t="shared" si="7"/>
        <v>145.78750000000002</v>
      </c>
      <c r="D317" s="56">
        <f>109*1.07</f>
        <v>116.63000000000001</v>
      </c>
    </row>
    <row r="318" spans="1:4" ht="27.75" customHeight="1">
      <c r="A318" s="36">
        <v>7</v>
      </c>
      <c r="B318" s="21" t="s">
        <v>496</v>
      </c>
      <c r="C318" s="49">
        <f t="shared" si="7"/>
        <v>128.4</v>
      </c>
      <c r="D318" s="56">
        <f>96*1.07</f>
        <v>102.72</v>
      </c>
    </row>
    <row r="319" spans="1:4" ht="27.75" customHeight="1">
      <c r="A319" s="36">
        <v>8</v>
      </c>
      <c r="B319" s="21" t="s">
        <v>567</v>
      </c>
      <c r="C319" s="49">
        <f t="shared" si="7"/>
        <v>116.36250000000001</v>
      </c>
      <c r="D319" s="56">
        <f>87*1.07</f>
        <v>93.09</v>
      </c>
    </row>
    <row r="320" spans="1:4" ht="27.75" customHeight="1">
      <c r="A320" s="36">
        <v>9</v>
      </c>
      <c r="B320" s="21" t="s">
        <v>497</v>
      </c>
      <c r="C320" s="49">
        <f t="shared" si="7"/>
        <v>296.925</v>
      </c>
      <c r="D320" s="54">
        <f>222*1.07</f>
        <v>237.54000000000002</v>
      </c>
    </row>
    <row r="321" spans="1:4" ht="27.75" customHeight="1">
      <c r="A321" s="36">
        <v>10</v>
      </c>
      <c r="B321" s="21" t="s">
        <v>498</v>
      </c>
      <c r="C321" s="49">
        <f t="shared" si="7"/>
        <v>244.7625</v>
      </c>
      <c r="D321" s="54">
        <f>183*1.07</f>
        <v>195.81</v>
      </c>
    </row>
    <row r="322" spans="1:4" ht="27.75" customHeight="1">
      <c r="A322" s="36">
        <v>11</v>
      </c>
      <c r="B322" s="21" t="s">
        <v>499</v>
      </c>
      <c r="C322" s="49">
        <f t="shared" si="7"/>
        <v>266.1625</v>
      </c>
      <c r="D322" s="54">
        <f>199*1.07</f>
        <v>212.93</v>
      </c>
    </row>
    <row r="323" spans="1:4" ht="27.75" customHeight="1">
      <c r="A323" s="36">
        <v>12</v>
      </c>
      <c r="B323" s="21" t="s">
        <v>500</v>
      </c>
      <c r="C323" s="49">
        <f t="shared" si="7"/>
        <v>411.95</v>
      </c>
      <c r="D323" s="54">
        <f>308*1.07</f>
        <v>329.56</v>
      </c>
    </row>
    <row r="324" spans="1:4" ht="27.75" customHeight="1">
      <c r="A324" s="36">
        <v>13</v>
      </c>
      <c r="B324" s="21" t="s">
        <v>501</v>
      </c>
      <c r="C324" s="49">
        <f t="shared" si="7"/>
        <v>211.325</v>
      </c>
      <c r="D324" s="54">
        <f>158*1.07</f>
        <v>169.06</v>
      </c>
    </row>
    <row r="325" spans="1:4" ht="27.75" customHeight="1">
      <c r="A325" s="36">
        <v>14</v>
      </c>
      <c r="B325" s="21" t="s">
        <v>720</v>
      </c>
      <c r="C325" s="49">
        <f t="shared" si="7"/>
        <v>128.4</v>
      </c>
      <c r="D325" s="54">
        <f>96*1.07</f>
        <v>102.72</v>
      </c>
    </row>
    <row r="326" spans="1:4" ht="27.75" customHeight="1">
      <c r="A326" s="36">
        <v>15</v>
      </c>
      <c r="B326" s="21" t="s">
        <v>721</v>
      </c>
      <c r="C326" s="49">
        <f t="shared" si="7"/>
        <v>128.4</v>
      </c>
      <c r="D326" s="54">
        <f>96*1.07</f>
        <v>102.72</v>
      </c>
    </row>
    <row r="327" spans="1:4" ht="27.75" customHeight="1">
      <c r="A327" s="36">
        <v>16</v>
      </c>
      <c r="B327" s="21" t="s">
        <v>722</v>
      </c>
      <c r="C327" s="49">
        <f t="shared" si="7"/>
        <v>128.4</v>
      </c>
      <c r="D327" s="54">
        <f>96*1.07</f>
        <v>102.72</v>
      </c>
    </row>
    <row r="328" spans="1:4" ht="27.75" customHeight="1">
      <c r="A328" s="36">
        <v>17</v>
      </c>
      <c r="B328" s="21" t="s">
        <v>723</v>
      </c>
      <c r="C328" s="49">
        <f t="shared" si="7"/>
        <v>109.67500000000001</v>
      </c>
      <c r="D328" s="56">
        <f>82*1.07</f>
        <v>87.74000000000001</v>
      </c>
    </row>
    <row r="329" spans="1:4" ht="27.75" customHeight="1">
      <c r="A329" s="36">
        <v>18</v>
      </c>
      <c r="B329" s="21" t="s">
        <v>502</v>
      </c>
      <c r="C329" s="49">
        <f t="shared" si="7"/>
        <v>149.8</v>
      </c>
      <c r="D329" s="54">
        <f>112*1.07</f>
        <v>119.84</v>
      </c>
    </row>
    <row r="330" spans="1:4" ht="27" customHeight="1">
      <c r="A330" s="36"/>
      <c r="B330" s="37" t="s">
        <v>503</v>
      </c>
      <c r="C330" s="49"/>
      <c r="D330" s="54"/>
    </row>
    <row r="331" spans="1:4" ht="27.75" customHeight="1">
      <c r="A331" s="36">
        <v>1</v>
      </c>
      <c r="B331" s="21" t="s">
        <v>700</v>
      </c>
      <c r="C331" s="49">
        <f t="shared" si="7"/>
        <v>171.20000000000002</v>
      </c>
      <c r="D331" s="56">
        <f>128*1.07</f>
        <v>136.96</v>
      </c>
    </row>
    <row r="332" spans="1:4" ht="27.75" customHeight="1">
      <c r="A332" s="36">
        <v>2</v>
      </c>
      <c r="B332" s="21" t="s">
        <v>19</v>
      </c>
      <c r="C332" s="49">
        <f t="shared" si="7"/>
        <v>171.20000000000002</v>
      </c>
      <c r="D332" s="56">
        <f>128*1.07</f>
        <v>136.96</v>
      </c>
    </row>
    <row r="333" spans="1:4" ht="27.75" customHeight="1">
      <c r="A333" s="36">
        <v>3</v>
      </c>
      <c r="B333" s="21" t="s">
        <v>705</v>
      </c>
      <c r="C333" s="49">
        <f t="shared" si="7"/>
        <v>214.00000000000003</v>
      </c>
      <c r="D333" s="56">
        <f>160*1.07</f>
        <v>171.20000000000002</v>
      </c>
    </row>
    <row r="334" spans="1:4" ht="27.75" customHeight="1">
      <c r="A334" s="36">
        <v>4</v>
      </c>
      <c r="B334" s="21" t="s">
        <v>20</v>
      </c>
      <c r="C334" s="49">
        <f t="shared" si="7"/>
        <v>211.325</v>
      </c>
      <c r="D334" s="56">
        <f>158*1.07</f>
        <v>169.06</v>
      </c>
    </row>
    <row r="335" spans="1:4" ht="27.75" customHeight="1">
      <c r="A335" s="36">
        <v>5</v>
      </c>
      <c r="B335" s="21" t="s">
        <v>484</v>
      </c>
      <c r="C335" s="49">
        <f t="shared" si="7"/>
        <v>85.60000000000001</v>
      </c>
      <c r="D335" s="56">
        <f>64*1.07</f>
        <v>68.48</v>
      </c>
    </row>
    <row r="336" spans="1:4" ht="27.75" customHeight="1">
      <c r="A336" s="36">
        <v>6</v>
      </c>
      <c r="B336" s="21" t="s">
        <v>21</v>
      </c>
      <c r="C336" s="49">
        <f t="shared" si="7"/>
        <v>403.92500000000007</v>
      </c>
      <c r="D336" s="56">
        <f>302*1.07</f>
        <v>323.14000000000004</v>
      </c>
    </row>
    <row r="337" spans="1:4" ht="27.75" customHeight="1">
      <c r="A337" s="36">
        <v>7</v>
      </c>
      <c r="B337" s="21" t="s">
        <v>22</v>
      </c>
      <c r="C337" s="49">
        <f aca="true" t="shared" si="8" ref="C337:C400">SUM(D337*1.25)</f>
        <v>326.35</v>
      </c>
      <c r="D337" s="56">
        <f>244*1.07</f>
        <v>261.08000000000004</v>
      </c>
    </row>
    <row r="338" spans="1:4" ht="27.75" customHeight="1">
      <c r="A338" s="36">
        <v>8</v>
      </c>
      <c r="B338" s="21" t="s">
        <v>23</v>
      </c>
      <c r="C338" s="49">
        <f t="shared" si="8"/>
        <v>398.57500000000005</v>
      </c>
      <c r="D338" s="56">
        <f>298*1.07</f>
        <v>318.86</v>
      </c>
    </row>
    <row r="339" spans="1:4" ht="27.75" customHeight="1">
      <c r="A339" s="36">
        <v>9</v>
      </c>
      <c r="B339" s="21" t="s">
        <v>24</v>
      </c>
      <c r="C339" s="49">
        <f t="shared" si="8"/>
        <v>148.4625</v>
      </c>
      <c r="D339" s="56">
        <f>111*1.07</f>
        <v>118.77000000000001</v>
      </c>
    </row>
    <row r="340" spans="1:4" ht="27.75" customHeight="1">
      <c r="A340" s="36">
        <v>10</v>
      </c>
      <c r="B340" s="21" t="s">
        <v>25</v>
      </c>
      <c r="C340" s="49">
        <f t="shared" si="8"/>
        <v>165.85000000000002</v>
      </c>
      <c r="D340" s="57">
        <f>124*1.07</f>
        <v>132.68</v>
      </c>
    </row>
    <row r="341" spans="1:4" ht="27.75" customHeight="1">
      <c r="A341" s="36">
        <v>11</v>
      </c>
      <c r="B341" s="21" t="s">
        <v>26</v>
      </c>
      <c r="C341" s="49">
        <f t="shared" si="8"/>
        <v>100.3125</v>
      </c>
      <c r="D341" s="57">
        <f>75*1.07</f>
        <v>80.25</v>
      </c>
    </row>
    <row r="342" spans="1:4" ht="27.75" customHeight="1">
      <c r="A342" s="36">
        <v>12</v>
      </c>
      <c r="B342" s="21" t="s">
        <v>27</v>
      </c>
      <c r="C342" s="49">
        <f t="shared" si="8"/>
        <v>52.16250000000001</v>
      </c>
      <c r="D342" s="57">
        <f>39*1.07</f>
        <v>41.730000000000004</v>
      </c>
    </row>
    <row r="343" spans="1:4" ht="27.75" customHeight="1">
      <c r="A343" s="36">
        <v>13</v>
      </c>
      <c r="B343" s="21" t="s">
        <v>28</v>
      </c>
      <c r="C343" s="49">
        <f t="shared" si="8"/>
        <v>296.925</v>
      </c>
      <c r="D343" s="57">
        <f>222*1.07</f>
        <v>237.54000000000002</v>
      </c>
    </row>
    <row r="344" spans="1:4" ht="27.75" customHeight="1">
      <c r="A344" s="36">
        <v>14</v>
      </c>
      <c r="B344" s="21" t="s">
        <v>29</v>
      </c>
      <c r="C344" s="49">
        <f t="shared" si="8"/>
        <v>151.13750000000002</v>
      </c>
      <c r="D344" s="57">
        <f>113*1.07</f>
        <v>120.91000000000001</v>
      </c>
    </row>
    <row r="345" spans="1:4" ht="27.75" customHeight="1">
      <c r="A345" s="36">
        <v>15</v>
      </c>
      <c r="B345" s="21" t="s">
        <v>30</v>
      </c>
      <c r="C345" s="49">
        <f t="shared" si="8"/>
        <v>147.125</v>
      </c>
      <c r="D345" s="57">
        <f>110*1.07</f>
        <v>117.7</v>
      </c>
    </row>
    <row r="346" spans="1:4" ht="27.75" customHeight="1">
      <c r="A346" s="36">
        <v>16</v>
      </c>
      <c r="B346" s="21" t="s">
        <v>31</v>
      </c>
      <c r="C346" s="49">
        <f t="shared" si="8"/>
        <v>338.38750000000005</v>
      </c>
      <c r="D346" s="57">
        <f>253*1.07</f>
        <v>270.71000000000004</v>
      </c>
    </row>
    <row r="347" spans="1:4" ht="27.75" customHeight="1">
      <c r="A347" s="36">
        <v>17</v>
      </c>
      <c r="B347" s="21" t="s">
        <v>32</v>
      </c>
      <c r="C347" s="49">
        <f t="shared" si="8"/>
        <v>152.475</v>
      </c>
      <c r="D347" s="57">
        <f>114*1.07</f>
        <v>121.98</v>
      </c>
    </row>
    <row r="348" spans="1:4" ht="27.75" customHeight="1">
      <c r="A348" s="36">
        <v>18</v>
      </c>
      <c r="B348" s="21" t="s">
        <v>33</v>
      </c>
      <c r="C348" s="49">
        <f t="shared" si="8"/>
        <v>417.30000000000007</v>
      </c>
      <c r="D348" s="57">
        <f>312*1.07</f>
        <v>333.84000000000003</v>
      </c>
    </row>
    <row r="349" spans="1:4" ht="27.75" customHeight="1">
      <c r="A349" s="36">
        <v>19</v>
      </c>
      <c r="B349" s="21" t="s">
        <v>34</v>
      </c>
      <c r="C349" s="49">
        <f t="shared" si="8"/>
        <v>453.4125</v>
      </c>
      <c r="D349" s="57">
        <f>339*1.07</f>
        <v>362.73</v>
      </c>
    </row>
    <row r="350" spans="1:4" ht="27.75" customHeight="1">
      <c r="A350" s="36">
        <v>20</v>
      </c>
      <c r="B350" s="21" t="s">
        <v>537</v>
      </c>
      <c r="C350" s="49">
        <f t="shared" si="8"/>
        <v>462.77500000000003</v>
      </c>
      <c r="D350" s="57">
        <f>346*1.07</f>
        <v>370.22</v>
      </c>
    </row>
    <row r="351" spans="1:4" ht="27.75" customHeight="1">
      <c r="A351" s="36">
        <v>21</v>
      </c>
      <c r="B351" s="21" t="s">
        <v>35</v>
      </c>
      <c r="C351" s="49">
        <f t="shared" si="8"/>
        <v>299.6</v>
      </c>
      <c r="D351" s="57">
        <f>224*1.07</f>
        <v>239.68</v>
      </c>
    </row>
    <row r="352" spans="1:4" ht="27.75" customHeight="1">
      <c r="A352" s="36">
        <v>22</v>
      </c>
      <c r="B352" s="21" t="s">
        <v>36</v>
      </c>
      <c r="C352" s="49">
        <f t="shared" si="8"/>
        <v>270.175</v>
      </c>
      <c r="D352" s="57">
        <f>202*1.07</f>
        <v>216.14000000000001</v>
      </c>
    </row>
    <row r="353" spans="1:4" ht="27.75" customHeight="1">
      <c r="A353" s="36">
        <v>23</v>
      </c>
      <c r="B353" s="21" t="s">
        <v>37</v>
      </c>
      <c r="C353" s="49">
        <f t="shared" si="8"/>
        <v>153.8125</v>
      </c>
      <c r="D353" s="57">
        <f>115*1.07</f>
        <v>123.05000000000001</v>
      </c>
    </row>
    <row r="354" spans="1:4" ht="27.75" customHeight="1">
      <c r="A354" s="36">
        <v>24</v>
      </c>
      <c r="B354" s="21" t="s">
        <v>38</v>
      </c>
      <c r="C354" s="49">
        <f t="shared" si="8"/>
        <v>88.275</v>
      </c>
      <c r="D354" s="57">
        <f>66*1.07</f>
        <v>70.62</v>
      </c>
    </row>
    <row r="355" spans="1:4" ht="27.75" customHeight="1">
      <c r="A355" s="36">
        <v>25</v>
      </c>
      <c r="B355" s="21" t="s">
        <v>39</v>
      </c>
      <c r="C355" s="49">
        <f t="shared" si="8"/>
        <v>88.275</v>
      </c>
      <c r="D355" s="57">
        <f>66*1.07</f>
        <v>70.62</v>
      </c>
    </row>
    <row r="356" spans="1:4" ht="27.75" customHeight="1">
      <c r="A356" s="36">
        <v>26</v>
      </c>
      <c r="B356" s="21" t="s">
        <v>40</v>
      </c>
      <c r="C356" s="49">
        <f t="shared" si="8"/>
        <v>115.025</v>
      </c>
      <c r="D356" s="57">
        <f>86*1.07</f>
        <v>92.02000000000001</v>
      </c>
    </row>
    <row r="357" spans="1:4" ht="27.75" customHeight="1">
      <c r="A357" s="36">
        <v>27</v>
      </c>
      <c r="B357" s="21" t="s">
        <v>41</v>
      </c>
      <c r="C357" s="49">
        <f t="shared" si="8"/>
        <v>141.775</v>
      </c>
      <c r="D357" s="57">
        <f>106*1.07</f>
        <v>113.42</v>
      </c>
    </row>
    <row r="358" spans="1:4" ht="27.75" customHeight="1">
      <c r="A358" s="36">
        <v>28</v>
      </c>
      <c r="B358" s="21" t="s">
        <v>42</v>
      </c>
      <c r="C358" s="49">
        <f t="shared" si="8"/>
        <v>252.78750000000002</v>
      </c>
      <c r="D358" s="57">
        <f>189*1.07</f>
        <v>202.23000000000002</v>
      </c>
    </row>
    <row r="359" spans="1:4" ht="27.75" customHeight="1">
      <c r="A359" s="36">
        <v>29</v>
      </c>
      <c r="B359" s="21" t="s">
        <v>43</v>
      </c>
      <c r="C359" s="49">
        <f t="shared" si="8"/>
        <v>127.0625</v>
      </c>
      <c r="D359" s="57">
        <f>95*1.07</f>
        <v>101.65</v>
      </c>
    </row>
    <row r="360" spans="1:4" ht="27.75" customHeight="1">
      <c r="A360" s="36">
        <v>30</v>
      </c>
      <c r="B360" s="21" t="s">
        <v>44</v>
      </c>
      <c r="C360" s="49">
        <f t="shared" si="8"/>
        <v>286.225</v>
      </c>
      <c r="D360" s="57">
        <f>214*1.07</f>
        <v>228.98000000000002</v>
      </c>
    </row>
    <row r="361" spans="1:4" ht="27.75" customHeight="1">
      <c r="A361" s="36">
        <v>31</v>
      </c>
      <c r="B361" s="21" t="s">
        <v>45</v>
      </c>
      <c r="C361" s="49">
        <f t="shared" si="8"/>
        <v>164.51250000000002</v>
      </c>
      <c r="D361" s="54">
        <f>123*1.07</f>
        <v>131.61</v>
      </c>
    </row>
    <row r="362" spans="1:4" ht="27.75" customHeight="1">
      <c r="A362" s="36">
        <v>32</v>
      </c>
      <c r="B362" s="21" t="s">
        <v>46</v>
      </c>
      <c r="C362" s="49">
        <f t="shared" si="8"/>
        <v>164.51250000000002</v>
      </c>
      <c r="D362" s="54">
        <f>123*1.07</f>
        <v>131.61</v>
      </c>
    </row>
    <row r="363" spans="1:4" ht="28.5" customHeight="1">
      <c r="A363" s="36"/>
      <c r="B363" s="37" t="s">
        <v>47</v>
      </c>
      <c r="C363" s="49"/>
      <c r="D363" s="54"/>
    </row>
    <row r="364" spans="1:4" ht="29.25" customHeight="1">
      <c r="A364" s="36">
        <v>1</v>
      </c>
      <c r="B364" s="21" t="s">
        <v>48</v>
      </c>
      <c r="C364" s="49">
        <f t="shared" si="8"/>
        <v>152.475</v>
      </c>
      <c r="D364" s="54">
        <f>114*1.07</f>
        <v>121.98</v>
      </c>
    </row>
    <row r="365" spans="1:4" ht="29.25" customHeight="1">
      <c r="A365" s="36">
        <v>2</v>
      </c>
      <c r="B365" s="21" t="s">
        <v>484</v>
      </c>
      <c r="C365" s="49">
        <f t="shared" si="8"/>
        <v>70.8875</v>
      </c>
      <c r="D365" s="54">
        <f>53*1.07</f>
        <v>56.71</v>
      </c>
    </row>
    <row r="366" spans="1:4" ht="29.25" customHeight="1">
      <c r="A366" s="36">
        <v>3</v>
      </c>
      <c r="B366" s="21" t="s">
        <v>21</v>
      </c>
      <c r="C366" s="49">
        <f t="shared" si="8"/>
        <v>466.7875</v>
      </c>
      <c r="D366" s="54">
        <f>349*1.07</f>
        <v>373.43</v>
      </c>
    </row>
    <row r="367" spans="1:4" ht="29.25" customHeight="1">
      <c r="A367" s="36">
        <v>4</v>
      </c>
      <c r="B367" s="21" t="s">
        <v>49</v>
      </c>
      <c r="C367" s="49">
        <f t="shared" si="8"/>
        <v>139.1</v>
      </c>
      <c r="D367" s="54">
        <f>104*1.07</f>
        <v>111.28</v>
      </c>
    </row>
    <row r="368" spans="1:4" ht="29.25" customHeight="1">
      <c r="A368" s="36">
        <v>5</v>
      </c>
      <c r="B368" s="21" t="s">
        <v>50</v>
      </c>
      <c r="C368" s="49">
        <f t="shared" si="8"/>
        <v>521.625</v>
      </c>
      <c r="D368" s="54">
        <f>390*1.07</f>
        <v>417.3</v>
      </c>
    </row>
    <row r="369" spans="1:4" ht="29.25" customHeight="1">
      <c r="A369" s="36">
        <v>6</v>
      </c>
      <c r="B369" s="21" t="s">
        <v>51</v>
      </c>
      <c r="C369" s="49">
        <f t="shared" si="8"/>
        <v>278.2</v>
      </c>
      <c r="D369" s="54">
        <f>208*1.07</f>
        <v>222.56</v>
      </c>
    </row>
    <row r="370" spans="1:4" ht="29.25" customHeight="1">
      <c r="A370" s="36">
        <v>7</v>
      </c>
      <c r="B370" s="21" t="s">
        <v>52</v>
      </c>
      <c r="C370" s="49">
        <f t="shared" si="8"/>
        <v>97.6375</v>
      </c>
      <c r="D370" s="54">
        <f>73*1.07</f>
        <v>78.11</v>
      </c>
    </row>
    <row r="371" spans="1:4" ht="29.25" customHeight="1">
      <c r="A371" s="36">
        <v>8</v>
      </c>
      <c r="B371" s="21" t="s">
        <v>53</v>
      </c>
      <c r="C371" s="49">
        <f t="shared" si="8"/>
        <v>112.35000000000001</v>
      </c>
      <c r="D371" s="54">
        <f>84*1.07</f>
        <v>89.88000000000001</v>
      </c>
    </row>
    <row r="372" spans="1:4" ht="29.25" customHeight="1">
      <c r="A372" s="36">
        <v>9</v>
      </c>
      <c r="B372" s="21" t="s">
        <v>54</v>
      </c>
      <c r="C372" s="49">
        <f t="shared" si="8"/>
        <v>124.3875</v>
      </c>
      <c r="D372" s="54">
        <f>93*1.07</f>
        <v>99.51</v>
      </c>
    </row>
    <row r="373" spans="1:4" ht="29.25" customHeight="1">
      <c r="A373" s="36">
        <v>10</v>
      </c>
      <c r="B373" s="21" t="s">
        <v>538</v>
      </c>
      <c r="C373" s="49">
        <f t="shared" si="8"/>
        <v>128.4</v>
      </c>
      <c r="D373" s="54">
        <f>96*1.07</f>
        <v>102.72</v>
      </c>
    </row>
    <row r="374" spans="1:4" ht="29.25" customHeight="1">
      <c r="A374" s="36">
        <v>11</v>
      </c>
      <c r="B374" s="21" t="s">
        <v>539</v>
      </c>
      <c r="C374" s="49">
        <f t="shared" si="8"/>
        <v>181.9</v>
      </c>
      <c r="D374" s="54">
        <f>136*1.07</f>
        <v>145.52</v>
      </c>
    </row>
    <row r="375" spans="1:4" ht="29.25" customHeight="1">
      <c r="A375" s="36">
        <v>12</v>
      </c>
      <c r="B375" s="21" t="s">
        <v>540</v>
      </c>
      <c r="C375" s="49">
        <f t="shared" si="8"/>
        <v>199.28750000000002</v>
      </c>
      <c r="D375" s="54">
        <f>149*1.07</f>
        <v>159.43</v>
      </c>
    </row>
    <row r="376" spans="1:4" ht="29.25" customHeight="1">
      <c r="A376" s="36">
        <v>13</v>
      </c>
      <c r="B376" s="21" t="s">
        <v>55</v>
      </c>
      <c r="C376" s="49">
        <f t="shared" si="8"/>
        <v>298.26250000000005</v>
      </c>
      <c r="D376" s="54">
        <f>223*1.07</f>
        <v>238.61</v>
      </c>
    </row>
    <row r="377" spans="1:4" ht="54" customHeight="1">
      <c r="A377" s="36">
        <v>14</v>
      </c>
      <c r="B377" s="21" t="s">
        <v>56</v>
      </c>
      <c r="C377" s="49">
        <f t="shared" si="8"/>
        <v>282.21250000000003</v>
      </c>
      <c r="D377" s="54">
        <f>211*1.07</f>
        <v>225.77</v>
      </c>
    </row>
    <row r="378" spans="1:4" ht="29.25" customHeight="1">
      <c r="A378" s="36">
        <v>15</v>
      </c>
      <c r="B378" s="21" t="s">
        <v>57</v>
      </c>
      <c r="C378" s="49">
        <f t="shared" si="8"/>
        <v>366.475</v>
      </c>
      <c r="D378" s="54">
        <f>274*1.07</f>
        <v>293.18</v>
      </c>
    </row>
    <row r="379" spans="1:4" ht="29.25" customHeight="1">
      <c r="A379" s="36">
        <v>16</v>
      </c>
      <c r="B379" s="21" t="s">
        <v>58</v>
      </c>
      <c r="C379" s="49">
        <f t="shared" si="8"/>
        <v>290.2375</v>
      </c>
      <c r="D379" s="54">
        <f>217*1.07</f>
        <v>232.19000000000003</v>
      </c>
    </row>
    <row r="380" spans="1:4" ht="29.25" customHeight="1">
      <c r="A380" s="36">
        <v>17</v>
      </c>
      <c r="B380" s="21" t="s">
        <v>59</v>
      </c>
      <c r="C380" s="49">
        <f t="shared" si="8"/>
        <v>211.325</v>
      </c>
      <c r="D380" s="54">
        <f>158*1.07</f>
        <v>169.06</v>
      </c>
    </row>
    <row r="381" spans="1:4" ht="29.25" customHeight="1">
      <c r="A381" s="36">
        <v>18</v>
      </c>
      <c r="B381" s="21" t="s">
        <v>60</v>
      </c>
      <c r="C381" s="49">
        <f t="shared" si="8"/>
        <v>137.76250000000002</v>
      </c>
      <c r="D381" s="54">
        <f>103*1.07</f>
        <v>110.21000000000001</v>
      </c>
    </row>
    <row r="382" spans="1:4" ht="29.25" customHeight="1">
      <c r="A382" s="36">
        <v>19</v>
      </c>
      <c r="B382" s="25" t="s">
        <v>61</v>
      </c>
      <c r="C382" s="49">
        <f t="shared" si="8"/>
        <v>7611.7125000000015</v>
      </c>
      <c r="D382" s="54">
        <f>5691*1.07</f>
        <v>6089.370000000001</v>
      </c>
    </row>
    <row r="383" spans="1:4" ht="29.25" customHeight="1">
      <c r="A383" s="36">
        <v>20</v>
      </c>
      <c r="B383" s="25" t="s">
        <v>62</v>
      </c>
      <c r="C383" s="49">
        <f t="shared" si="8"/>
        <v>7611.7125000000015</v>
      </c>
      <c r="D383" s="54">
        <f aca="true" t="shared" si="9" ref="D383:D390">5691*1.07</f>
        <v>6089.370000000001</v>
      </c>
    </row>
    <row r="384" spans="1:4" ht="29.25" customHeight="1">
      <c r="A384" s="36">
        <v>21</v>
      </c>
      <c r="B384" s="25" t="s">
        <v>63</v>
      </c>
      <c r="C384" s="49">
        <f t="shared" si="8"/>
        <v>7611.7125000000015</v>
      </c>
      <c r="D384" s="54">
        <f t="shared" si="9"/>
        <v>6089.370000000001</v>
      </c>
    </row>
    <row r="385" spans="1:4" ht="29.25" customHeight="1">
      <c r="A385" s="36">
        <v>22</v>
      </c>
      <c r="B385" s="25" t="s">
        <v>64</v>
      </c>
      <c r="C385" s="49">
        <f t="shared" si="8"/>
        <v>7611.7125000000015</v>
      </c>
      <c r="D385" s="54">
        <f t="shared" si="9"/>
        <v>6089.370000000001</v>
      </c>
    </row>
    <row r="386" spans="1:4" ht="29.25" customHeight="1">
      <c r="A386" s="36">
        <v>23</v>
      </c>
      <c r="B386" s="25" t="s">
        <v>65</v>
      </c>
      <c r="C386" s="49">
        <f t="shared" si="8"/>
        <v>7611.7125000000015</v>
      </c>
      <c r="D386" s="54">
        <f t="shared" si="9"/>
        <v>6089.370000000001</v>
      </c>
    </row>
    <row r="387" spans="1:4" ht="29.25" customHeight="1">
      <c r="A387" s="36">
        <v>24</v>
      </c>
      <c r="B387" s="25" t="s">
        <v>66</v>
      </c>
      <c r="C387" s="49">
        <f t="shared" si="8"/>
        <v>7611.7125000000015</v>
      </c>
      <c r="D387" s="54">
        <f t="shared" si="9"/>
        <v>6089.370000000001</v>
      </c>
    </row>
    <row r="388" spans="1:4" ht="29.25" customHeight="1">
      <c r="A388" s="36">
        <v>25</v>
      </c>
      <c r="B388" s="25" t="s">
        <v>67</v>
      </c>
      <c r="C388" s="49">
        <f t="shared" si="8"/>
        <v>7611.7125000000015</v>
      </c>
      <c r="D388" s="54">
        <f t="shared" si="9"/>
        <v>6089.370000000001</v>
      </c>
    </row>
    <row r="389" spans="1:4" ht="29.25" customHeight="1">
      <c r="A389" s="36">
        <v>26</v>
      </c>
      <c r="B389" s="25" t="s">
        <v>68</v>
      </c>
      <c r="C389" s="49">
        <f t="shared" si="8"/>
        <v>7611.7125000000015</v>
      </c>
      <c r="D389" s="54">
        <f t="shared" si="9"/>
        <v>6089.370000000001</v>
      </c>
    </row>
    <row r="390" spans="1:4" ht="29.25" customHeight="1">
      <c r="A390" s="36">
        <v>27</v>
      </c>
      <c r="B390" s="25" t="s">
        <v>69</v>
      </c>
      <c r="C390" s="49">
        <f t="shared" si="8"/>
        <v>7611.7125000000015</v>
      </c>
      <c r="D390" s="54">
        <f t="shared" si="9"/>
        <v>6089.370000000001</v>
      </c>
    </row>
    <row r="391" spans="1:4" ht="29.25" customHeight="1">
      <c r="A391" s="36">
        <v>28</v>
      </c>
      <c r="B391" s="25" t="s">
        <v>70</v>
      </c>
      <c r="C391" s="49">
        <f t="shared" si="8"/>
        <v>2701.75</v>
      </c>
      <c r="D391" s="54">
        <f>2020*1.07</f>
        <v>2161.4</v>
      </c>
    </row>
    <row r="392" spans="1:4" ht="29.25" customHeight="1">
      <c r="A392" s="36">
        <v>29</v>
      </c>
      <c r="B392" s="25" t="s">
        <v>71</v>
      </c>
      <c r="C392" s="49">
        <f t="shared" si="8"/>
        <v>2701.75</v>
      </c>
      <c r="D392" s="54">
        <f>2020*1.07</f>
        <v>2161.4</v>
      </c>
    </row>
    <row r="393" spans="1:4" ht="27.75">
      <c r="A393" s="36"/>
      <c r="B393" s="37" t="s">
        <v>72</v>
      </c>
      <c r="C393" s="49"/>
      <c r="D393" s="54"/>
    </row>
    <row r="394" spans="1:4" ht="27.75">
      <c r="A394" s="36">
        <v>1</v>
      </c>
      <c r="B394" s="21" t="s">
        <v>48</v>
      </c>
      <c r="C394" s="49">
        <f t="shared" si="8"/>
        <v>283.55</v>
      </c>
      <c r="D394" s="57">
        <f>212*1.07</f>
        <v>226.84</v>
      </c>
    </row>
    <row r="395" spans="1:4" ht="27.75">
      <c r="A395" s="36">
        <v>2</v>
      </c>
      <c r="B395" s="21" t="s">
        <v>73</v>
      </c>
      <c r="C395" s="49">
        <f t="shared" si="8"/>
        <v>140.4375</v>
      </c>
      <c r="D395" s="57">
        <f>105*1.07</f>
        <v>112.35000000000001</v>
      </c>
    </row>
    <row r="396" spans="1:4" ht="27.75">
      <c r="A396" s="36">
        <v>3</v>
      </c>
      <c r="B396" s="21" t="s">
        <v>74</v>
      </c>
      <c r="C396" s="49">
        <f t="shared" si="8"/>
        <v>283.55</v>
      </c>
      <c r="D396" s="57">
        <f>212*1.07</f>
        <v>226.84</v>
      </c>
    </row>
    <row r="397" spans="1:4" ht="27.75">
      <c r="A397" s="36">
        <v>4</v>
      </c>
      <c r="B397" s="21" t="s">
        <v>21</v>
      </c>
      <c r="C397" s="49">
        <f t="shared" si="8"/>
        <v>335.7125</v>
      </c>
      <c r="D397" s="57">
        <f>251*1.07</f>
        <v>268.57</v>
      </c>
    </row>
    <row r="398" spans="1:4" ht="30.75" customHeight="1">
      <c r="A398" s="36">
        <v>5</v>
      </c>
      <c r="B398" s="21" t="s">
        <v>705</v>
      </c>
      <c r="C398" s="49">
        <f t="shared" si="8"/>
        <v>234.0625</v>
      </c>
      <c r="D398" s="57">
        <f>175*1.07</f>
        <v>187.25</v>
      </c>
    </row>
    <row r="399" spans="1:4" ht="27.75">
      <c r="A399" s="36">
        <v>6</v>
      </c>
      <c r="B399" s="21" t="s">
        <v>20</v>
      </c>
      <c r="C399" s="49">
        <f t="shared" si="8"/>
        <v>314.3125</v>
      </c>
      <c r="D399" s="57">
        <f>235*1.07</f>
        <v>251.45000000000002</v>
      </c>
    </row>
    <row r="400" spans="1:4" ht="27.75">
      <c r="A400" s="36">
        <v>7</v>
      </c>
      <c r="B400" s="21" t="s">
        <v>75</v>
      </c>
      <c r="C400" s="49">
        <f t="shared" si="8"/>
        <v>679.45</v>
      </c>
      <c r="D400" s="57">
        <f>508*1.07</f>
        <v>543.5600000000001</v>
      </c>
    </row>
    <row r="401" spans="1:4" ht="25.5" customHeight="1">
      <c r="A401" s="36">
        <v>8</v>
      </c>
      <c r="B401" s="21" t="s">
        <v>76</v>
      </c>
      <c r="C401" s="49">
        <f aca="true" t="shared" si="10" ref="C401:C466">SUM(D401*1.25)</f>
        <v>679.45</v>
      </c>
      <c r="D401" s="57">
        <f>508*1.07</f>
        <v>543.5600000000001</v>
      </c>
    </row>
    <row r="402" spans="1:4" ht="25.5" customHeight="1">
      <c r="A402" s="36">
        <v>9</v>
      </c>
      <c r="B402" s="21" t="s">
        <v>77</v>
      </c>
      <c r="C402" s="49">
        <f t="shared" si="10"/>
        <v>470.80000000000007</v>
      </c>
      <c r="D402" s="57">
        <f>352*1.07</f>
        <v>376.64000000000004</v>
      </c>
    </row>
    <row r="403" spans="1:4" ht="25.5" customHeight="1">
      <c r="A403" s="36">
        <v>10</v>
      </c>
      <c r="B403" s="21" t="s">
        <v>78</v>
      </c>
      <c r="C403" s="49">
        <f t="shared" si="10"/>
        <v>323.675</v>
      </c>
      <c r="D403" s="57">
        <f>242*1.07</f>
        <v>258.94</v>
      </c>
    </row>
    <row r="404" spans="1:4" ht="25.5" customHeight="1">
      <c r="A404" s="36">
        <v>11</v>
      </c>
      <c r="B404" s="21" t="s">
        <v>79</v>
      </c>
      <c r="C404" s="49">
        <f t="shared" si="10"/>
        <v>248.775</v>
      </c>
      <c r="D404" s="57">
        <f>186*1.07</f>
        <v>199.02</v>
      </c>
    </row>
    <row r="405" spans="1:4" ht="25.5" customHeight="1">
      <c r="A405" s="36">
        <v>12</v>
      </c>
      <c r="B405" s="21" t="s">
        <v>80</v>
      </c>
      <c r="C405" s="49">
        <f t="shared" si="10"/>
        <v>449.40000000000003</v>
      </c>
      <c r="D405" s="57">
        <f>336*1.07</f>
        <v>359.52000000000004</v>
      </c>
    </row>
    <row r="406" spans="1:4" ht="25.5" customHeight="1">
      <c r="A406" s="36">
        <v>13</v>
      </c>
      <c r="B406" s="21" t="s">
        <v>81</v>
      </c>
      <c r="C406" s="49">
        <f t="shared" si="10"/>
        <v>302.27500000000003</v>
      </c>
      <c r="D406" s="57">
        <f>226*1.07</f>
        <v>241.82000000000002</v>
      </c>
    </row>
    <row r="407" spans="1:4" ht="25.5" customHeight="1">
      <c r="A407" s="36">
        <v>14</v>
      </c>
      <c r="B407" s="21" t="s">
        <v>82</v>
      </c>
      <c r="C407" s="49">
        <f t="shared" si="10"/>
        <v>365.13750000000005</v>
      </c>
      <c r="D407" s="57">
        <f>273*1.07</f>
        <v>292.11</v>
      </c>
    </row>
    <row r="408" spans="1:4" ht="25.5" customHeight="1">
      <c r="A408" s="36">
        <v>15</v>
      </c>
      <c r="B408" s="21" t="s">
        <v>83</v>
      </c>
      <c r="C408" s="49">
        <f t="shared" si="10"/>
        <v>398.57500000000005</v>
      </c>
      <c r="D408" s="57">
        <f>298*1.07</f>
        <v>318.86</v>
      </c>
    </row>
    <row r="409" spans="1:4" ht="25.5" customHeight="1">
      <c r="A409" s="36">
        <v>16</v>
      </c>
      <c r="B409" s="21" t="s">
        <v>84</v>
      </c>
      <c r="C409" s="49">
        <f t="shared" si="10"/>
        <v>512.2625</v>
      </c>
      <c r="D409" s="57">
        <f>383*1.07</f>
        <v>409.81</v>
      </c>
    </row>
    <row r="410" spans="1:4" ht="25.5" customHeight="1">
      <c r="A410" s="36">
        <v>17</v>
      </c>
      <c r="B410" s="21" t="s">
        <v>541</v>
      </c>
      <c r="C410" s="49">
        <f t="shared" si="10"/>
        <v>829.2500000000001</v>
      </c>
      <c r="D410" s="57">
        <f>620*1.07</f>
        <v>663.4000000000001</v>
      </c>
    </row>
    <row r="411" spans="1:4" ht="25.5" customHeight="1">
      <c r="A411" s="36">
        <v>18</v>
      </c>
      <c r="B411" s="21" t="s">
        <v>702</v>
      </c>
      <c r="C411" s="49">
        <f t="shared" si="10"/>
        <v>977.7125000000001</v>
      </c>
      <c r="D411" s="57">
        <f>731*1.07</f>
        <v>782.1700000000001</v>
      </c>
    </row>
    <row r="412" spans="1:4" ht="25.5" customHeight="1">
      <c r="A412" s="36">
        <v>19</v>
      </c>
      <c r="B412" s="21" t="s">
        <v>85</v>
      </c>
      <c r="C412" s="49">
        <f t="shared" si="10"/>
        <v>457.425</v>
      </c>
      <c r="D412" s="57">
        <f>342*1.07</f>
        <v>365.94</v>
      </c>
    </row>
    <row r="413" spans="1:4" ht="25.5" customHeight="1">
      <c r="A413" s="36">
        <v>20</v>
      </c>
      <c r="B413" s="21" t="s">
        <v>86</v>
      </c>
      <c r="C413" s="49">
        <f t="shared" si="10"/>
        <v>310.3</v>
      </c>
      <c r="D413" s="57">
        <f>232*1.07</f>
        <v>248.24</v>
      </c>
    </row>
    <row r="414" spans="1:4" ht="25.5" customHeight="1">
      <c r="A414" s="36">
        <v>21</v>
      </c>
      <c r="B414" s="21" t="s">
        <v>87</v>
      </c>
      <c r="C414" s="49">
        <f t="shared" si="10"/>
        <v>470.80000000000007</v>
      </c>
      <c r="D414" s="57">
        <f>352*1.07</f>
        <v>376.64000000000004</v>
      </c>
    </row>
    <row r="415" spans="1:4" ht="25.5" customHeight="1">
      <c r="A415" s="36">
        <v>22</v>
      </c>
      <c r="B415" s="21" t="s">
        <v>88</v>
      </c>
      <c r="C415" s="49">
        <f t="shared" si="10"/>
        <v>117.70000000000002</v>
      </c>
      <c r="D415" s="57">
        <f>88*1.07</f>
        <v>94.16000000000001</v>
      </c>
    </row>
    <row r="416" spans="1:4" ht="25.5" customHeight="1">
      <c r="A416" s="36">
        <v>23</v>
      </c>
      <c r="B416" s="21" t="s">
        <v>317</v>
      </c>
      <c r="C416" s="49">
        <f t="shared" si="10"/>
        <v>369.15</v>
      </c>
      <c r="D416" s="57">
        <f>276*1.07</f>
        <v>295.32</v>
      </c>
    </row>
    <row r="417" spans="1:4" ht="25.5" customHeight="1">
      <c r="A417" s="36">
        <v>24</v>
      </c>
      <c r="B417" s="21" t="s">
        <v>89</v>
      </c>
      <c r="C417" s="49">
        <f t="shared" si="10"/>
        <v>169.8625</v>
      </c>
      <c r="D417" s="57">
        <f>127*1.07</f>
        <v>135.89000000000001</v>
      </c>
    </row>
    <row r="418" spans="1:4" ht="25.5" customHeight="1">
      <c r="A418" s="36">
        <v>25</v>
      </c>
      <c r="B418" s="21" t="s">
        <v>90</v>
      </c>
      <c r="C418" s="49">
        <f t="shared" si="10"/>
        <v>251.45000000000005</v>
      </c>
      <c r="D418" s="57">
        <f>188*1.07</f>
        <v>201.16000000000003</v>
      </c>
    </row>
    <row r="419" spans="1:4" ht="25.5" customHeight="1">
      <c r="A419" s="36">
        <v>26</v>
      </c>
      <c r="B419" s="21" t="s">
        <v>91</v>
      </c>
      <c r="C419" s="49">
        <f t="shared" si="10"/>
        <v>74.9</v>
      </c>
      <c r="D419" s="57">
        <f>56*1.07</f>
        <v>59.92</v>
      </c>
    </row>
    <row r="420" spans="1:4" ht="25.5" customHeight="1">
      <c r="A420" s="36">
        <v>27</v>
      </c>
      <c r="B420" s="21" t="s">
        <v>92</v>
      </c>
      <c r="C420" s="49">
        <f t="shared" si="10"/>
        <v>904.1500000000001</v>
      </c>
      <c r="D420" s="57">
        <f>676*1.07</f>
        <v>723.32</v>
      </c>
    </row>
    <row r="421" spans="1:4" ht="25.5" customHeight="1">
      <c r="A421" s="36">
        <v>28</v>
      </c>
      <c r="B421" s="21" t="s">
        <v>93</v>
      </c>
      <c r="C421" s="49">
        <f t="shared" si="10"/>
        <v>157.82500000000002</v>
      </c>
      <c r="D421" s="57">
        <f>118*1.07</f>
        <v>126.26</v>
      </c>
    </row>
    <row r="422" spans="1:4" ht="25.5" customHeight="1">
      <c r="A422" s="36">
        <v>29</v>
      </c>
      <c r="B422" s="21" t="s">
        <v>94</v>
      </c>
      <c r="C422" s="49">
        <f t="shared" si="10"/>
        <v>619.2625</v>
      </c>
      <c r="D422" s="57">
        <f>463*1.07</f>
        <v>495.41</v>
      </c>
    </row>
    <row r="423" spans="1:4" ht="25.5" customHeight="1">
      <c r="A423" s="36">
        <v>30</v>
      </c>
      <c r="B423" s="21" t="s">
        <v>95</v>
      </c>
      <c r="C423" s="49">
        <f t="shared" si="10"/>
        <v>444.05</v>
      </c>
      <c r="D423" s="57">
        <f>332*1.07</f>
        <v>355.24</v>
      </c>
    </row>
    <row r="424" spans="1:4" ht="54" customHeight="1">
      <c r="A424" s="36">
        <v>31</v>
      </c>
      <c r="B424" s="21" t="s">
        <v>96</v>
      </c>
      <c r="C424" s="49">
        <f t="shared" si="10"/>
        <v>224.70000000000002</v>
      </c>
      <c r="D424" s="57">
        <f>168*1.07</f>
        <v>179.76000000000002</v>
      </c>
    </row>
    <row r="425" spans="1:4" ht="27.75" customHeight="1">
      <c r="A425" s="36">
        <v>32</v>
      </c>
      <c r="B425" s="21" t="s">
        <v>97</v>
      </c>
      <c r="C425" s="49">
        <f t="shared" si="10"/>
        <v>1257.25</v>
      </c>
      <c r="D425" s="54">
        <f>940*1.07</f>
        <v>1005.8000000000001</v>
      </c>
    </row>
    <row r="426" spans="1:4" ht="27.75" customHeight="1">
      <c r="A426" s="36">
        <v>33</v>
      </c>
      <c r="B426" s="21" t="s">
        <v>98</v>
      </c>
      <c r="C426" s="49">
        <f t="shared" si="10"/>
        <v>325.0125</v>
      </c>
      <c r="D426" s="54">
        <f>243*1.07</f>
        <v>260.01</v>
      </c>
    </row>
    <row r="427" spans="1:4" ht="27.75" customHeight="1">
      <c r="A427" s="36">
        <v>34</v>
      </c>
      <c r="B427" s="21" t="s">
        <v>99</v>
      </c>
      <c r="C427" s="49">
        <f t="shared" si="10"/>
        <v>553.725</v>
      </c>
      <c r="D427" s="57">
        <f>414*1.07</f>
        <v>442.98</v>
      </c>
    </row>
    <row r="428" spans="1:4" ht="27.75" customHeight="1">
      <c r="A428" s="36">
        <v>35</v>
      </c>
      <c r="B428" s="21" t="s">
        <v>100</v>
      </c>
      <c r="C428" s="49">
        <f t="shared" si="10"/>
        <v>1163.625</v>
      </c>
      <c r="D428" s="57">
        <f>870*1.07</f>
        <v>930.9000000000001</v>
      </c>
    </row>
    <row r="429" spans="1:4" ht="27.75" customHeight="1">
      <c r="A429" s="36">
        <v>36</v>
      </c>
      <c r="B429" s="21" t="s">
        <v>542</v>
      </c>
      <c r="C429" s="49">
        <f t="shared" si="10"/>
        <v>1084.7125</v>
      </c>
      <c r="D429" s="57">
        <f>811*1.07</f>
        <v>867.7700000000001</v>
      </c>
    </row>
    <row r="430" spans="1:4" s="8" customFormat="1" ht="27.75" customHeight="1">
      <c r="A430" s="36">
        <v>37</v>
      </c>
      <c r="B430" s="21" t="s">
        <v>101</v>
      </c>
      <c r="C430" s="49">
        <f t="shared" si="10"/>
        <v>872.05</v>
      </c>
      <c r="D430" s="54">
        <f>652*1.07</f>
        <v>697.64</v>
      </c>
    </row>
    <row r="431" spans="1:4" ht="27.75" customHeight="1">
      <c r="A431" s="36">
        <v>38</v>
      </c>
      <c r="B431" s="25" t="s">
        <v>102</v>
      </c>
      <c r="C431" s="49">
        <f t="shared" si="10"/>
        <v>1718.6875</v>
      </c>
      <c r="D431" s="54">
        <f>1285*1.07</f>
        <v>1374.95</v>
      </c>
    </row>
    <row r="432" spans="1:4" ht="27.75" customHeight="1">
      <c r="A432" s="36">
        <v>39</v>
      </c>
      <c r="B432" s="25" t="s">
        <v>239</v>
      </c>
      <c r="C432" s="49">
        <f t="shared" si="10"/>
        <v>4223.825000000001</v>
      </c>
      <c r="D432" s="54">
        <f>3158*1.07</f>
        <v>3379.0600000000004</v>
      </c>
    </row>
    <row r="433" spans="1:4" ht="57" customHeight="1">
      <c r="A433" s="36">
        <v>40</v>
      </c>
      <c r="B433" s="25" t="s">
        <v>742</v>
      </c>
      <c r="C433" s="49">
        <f t="shared" si="10"/>
        <v>113.6875</v>
      </c>
      <c r="D433" s="54">
        <f>85*1.07</f>
        <v>90.95</v>
      </c>
    </row>
    <row r="434" spans="1:4" ht="57" customHeight="1">
      <c r="A434" s="36">
        <v>41</v>
      </c>
      <c r="B434" s="25" t="s">
        <v>743</v>
      </c>
      <c r="C434" s="49">
        <f t="shared" si="10"/>
        <v>8836.862500000001</v>
      </c>
      <c r="D434" s="54">
        <f>6607*1.07</f>
        <v>7069.490000000001</v>
      </c>
    </row>
    <row r="435" spans="1:4" s="8" customFormat="1" ht="27.75">
      <c r="A435" s="40"/>
      <c r="B435" s="37" t="s">
        <v>103</v>
      </c>
      <c r="C435" s="49"/>
      <c r="D435" s="55"/>
    </row>
    <row r="436" spans="1:4" ht="34.5" customHeight="1">
      <c r="A436" s="36">
        <v>1</v>
      </c>
      <c r="B436" s="21" t="s">
        <v>104</v>
      </c>
      <c r="C436" s="49">
        <f t="shared" si="10"/>
        <v>147.125</v>
      </c>
      <c r="D436" s="54">
        <f>110*1.07</f>
        <v>117.7</v>
      </c>
    </row>
    <row r="437" spans="1:4" ht="27.75">
      <c r="A437" s="36">
        <v>2</v>
      </c>
      <c r="B437" s="21" t="s">
        <v>270</v>
      </c>
      <c r="C437" s="49">
        <f t="shared" si="10"/>
        <v>227.375</v>
      </c>
      <c r="D437" s="54">
        <f>170*1.07</f>
        <v>181.9</v>
      </c>
    </row>
    <row r="438" spans="1:4" ht="27.75">
      <c r="A438" s="36">
        <v>3</v>
      </c>
      <c r="B438" s="21" t="s">
        <v>271</v>
      </c>
      <c r="C438" s="49">
        <f t="shared" si="10"/>
        <v>625.95</v>
      </c>
      <c r="D438" s="54">
        <f>468*1.07</f>
        <v>500.76000000000005</v>
      </c>
    </row>
    <row r="439" spans="1:4" ht="27.75">
      <c r="A439" s="36">
        <v>4</v>
      </c>
      <c r="B439" s="21" t="s">
        <v>272</v>
      </c>
      <c r="C439" s="49">
        <f t="shared" si="10"/>
        <v>497.55</v>
      </c>
      <c r="D439" s="54">
        <f>372*1.07</f>
        <v>398.04</v>
      </c>
    </row>
    <row r="440" spans="1:4" ht="27.75">
      <c r="A440" s="36">
        <v>5</v>
      </c>
      <c r="B440" s="21" t="s">
        <v>105</v>
      </c>
      <c r="C440" s="49">
        <f t="shared" si="10"/>
        <v>112.35000000000001</v>
      </c>
      <c r="D440" s="54">
        <f>84*1.07</f>
        <v>89.88000000000001</v>
      </c>
    </row>
    <row r="441" spans="1:4" ht="30" customHeight="1">
      <c r="A441" s="36">
        <v>6</v>
      </c>
      <c r="B441" s="21" t="s">
        <v>106</v>
      </c>
      <c r="C441" s="49">
        <f t="shared" si="10"/>
        <v>144.45</v>
      </c>
      <c r="D441" s="54">
        <f>108*1.07</f>
        <v>115.56</v>
      </c>
    </row>
    <row r="442" spans="1:4" ht="32.25" customHeight="1">
      <c r="A442" s="36">
        <v>7</v>
      </c>
      <c r="B442" s="21" t="s">
        <v>107</v>
      </c>
      <c r="C442" s="49">
        <f t="shared" si="10"/>
        <v>153.8125</v>
      </c>
      <c r="D442" s="54">
        <f>115*1.07</f>
        <v>123.05000000000001</v>
      </c>
    </row>
    <row r="443" spans="1:4" ht="30.75" customHeight="1">
      <c r="A443" s="36"/>
      <c r="B443" s="26" t="s">
        <v>108</v>
      </c>
      <c r="C443" s="49"/>
      <c r="D443" s="54"/>
    </row>
    <row r="444" spans="1:4" ht="27.75">
      <c r="A444" s="36">
        <v>1</v>
      </c>
      <c r="B444" s="21" t="s">
        <v>109</v>
      </c>
      <c r="C444" s="49">
        <f t="shared" si="10"/>
        <v>151.13750000000002</v>
      </c>
      <c r="D444" s="54">
        <f>113*1.07</f>
        <v>120.91000000000001</v>
      </c>
    </row>
    <row r="445" spans="1:4" ht="27.75">
      <c r="A445" s="36">
        <v>2</v>
      </c>
      <c r="B445" s="21" t="s">
        <v>110</v>
      </c>
      <c r="C445" s="49">
        <f t="shared" si="10"/>
        <v>219.35000000000002</v>
      </c>
      <c r="D445" s="54">
        <f>164*1.07</f>
        <v>175.48000000000002</v>
      </c>
    </row>
    <row r="446" spans="1:4" ht="27.75">
      <c r="A446" s="36">
        <v>3</v>
      </c>
      <c r="B446" s="21" t="s">
        <v>111</v>
      </c>
      <c r="C446" s="49">
        <f t="shared" si="10"/>
        <v>314.3125</v>
      </c>
      <c r="D446" s="54">
        <f>235*1.07</f>
        <v>251.45000000000002</v>
      </c>
    </row>
    <row r="447" spans="1:4" ht="27.75">
      <c r="A447" s="36">
        <v>4</v>
      </c>
      <c r="B447" s="21" t="s">
        <v>112</v>
      </c>
      <c r="C447" s="49">
        <f t="shared" si="10"/>
        <v>440.0375</v>
      </c>
      <c r="D447" s="54">
        <f>329*1.07</f>
        <v>352.03000000000003</v>
      </c>
    </row>
    <row r="448" spans="1:4" ht="27.75">
      <c r="A448" s="36">
        <v>5</v>
      </c>
      <c r="B448" s="21" t="s">
        <v>113</v>
      </c>
      <c r="C448" s="49">
        <f t="shared" si="10"/>
        <v>365.13750000000005</v>
      </c>
      <c r="D448" s="54">
        <f>273*1.07</f>
        <v>292.11</v>
      </c>
    </row>
    <row r="449" spans="1:4" ht="27.75">
      <c r="A449" s="36">
        <v>6</v>
      </c>
      <c r="B449" s="21" t="s">
        <v>114</v>
      </c>
      <c r="C449" s="49">
        <f t="shared" si="10"/>
        <v>434.6875</v>
      </c>
      <c r="D449" s="54">
        <f>325*1.07</f>
        <v>347.75</v>
      </c>
    </row>
    <row r="450" spans="1:4" ht="33.75" customHeight="1">
      <c r="A450" s="36"/>
      <c r="B450" s="26" t="s">
        <v>115</v>
      </c>
      <c r="C450" s="49"/>
      <c r="D450" s="54"/>
    </row>
    <row r="451" spans="1:4" ht="27.75">
      <c r="A451" s="36">
        <v>1</v>
      </c>
      <c r="B451" s="21" t="s">
        <v>111</v>
      </c>
      <c r="C451" s="49">
        <f t="shared" si="10"/>
        <v>379.85</v>
      </c>
      <c r="D451" s="54">
        <f>284*1.07</f>
        <v>303.88</v>
      </c>
    </row>
    <row r="452" spans="1:4" ht="27.75">
      <c r="A452" s="36">
        <v>2</v>
      </c>
      <c r="B452" s="21" t="s">
        <v>116</v>
      </c>
      <c r="C452" s="49">
        <f t="shared" si="10"/>
        <v>585.825</v>
      </c>
      <c r="D452" s="54">
        <f>438*1.07</f>
        <v>468.66</v>
      </c>
    </row>
    <row r="453" spans="1:4" ht="33.75" customHeight="1">
      <c r="A453" s="36">
        <v>3</v>
      </c>
      <c r="B453" s="21" t="s">
        <v>117</v>
      </c>
      <c r="C453" s="49">
        <f t="shared" si="10"/>
        <v>276.8625</v>
      </c>
      <c r="D453" s="54">
        <f>207*1.07</f>
        <v>221.49</v>
      </c>
    </row>
    <row r="454" spans="1:4" ht="27.75">
      <c r="A454" s="36"/>
      <c r="B454" s="26" t="s">
        <v>118</v>
      </c>
      <c r="C454" s="49"/>
      <c r="D454" s="54"/>
    </row>
    <row r="455" spans="1:4" ht="28.5" customHeight="1">
      <c r="A455" s="36">
        <v>1</v>
      </c>
      <c r="B455" s="21" t="s">
        <v>273</v>
      </c>
      <c r="C455" s="49">
        <f t="shared" si="10"/>
        <v>175.21250000000003</v>
      </c>
      <c r="D455" s="54">
        <f>131*1.07</f>
        <v>140.17000000000002</v>
      </c>
    </row>
    <row r="456" spans="1:4" ht="28.5" customHeight="1">
      <c r="A456" s="36">
        <v>2</v>
      </c>
      <c r="B456" s="21" t="s">
        <v>274</v>
      </c>
      <c r="C456" s="49">
        <f t="shared" si="10"/>
        <v>175.21250000000003</v>
      </c>
      <c r="D456" s="54">
        <f>131*1.07</f>
        <v>140.17000000000002</v>
      </c>
    </row>
    <row r="457" spans="1:4" ht="28.5" customHeight="1">
      <c r="A457" s="36"/>
      <c r="B457" s="26" t="s">
        <v>119</v>
      </c>
      <c r="C457" s="49"/>
      <c r="D457" s="54"/>
    </row>
    <row r="458" spans="1:4" ht="37.5" customHeight="1">
      <c r="A458" s="36">
        <v>1</v>
      </c>
      <c r="B458" s="21" t="s">
        <v>543</v>
      </c>
      <c r="C458" s="49">
        <f t="shared" si="10"/>
        <v>596.5250000000001</v>
      </c>
      <c r="D458" s="54">
        <f>446*1.07</f>
        <v>477.22</v>
      </c>
    </row>
    <row r="459" spans="1:4" ht="27.75">
      <c r="A459" s="36"/>
      <c r="B459" s="26" t="s">
        <v>120</v>
      </c>
      <c r="C459" s="49"/>
      <c r="D459" s="54"/>
    </row>
    <row r="460" spans="1:4" ht="29.25" customHeight="1">
      <c r="A460" s="36">
        <v>1</v>
      </c>
      <c r="B460" s="21" t="s">
        <v>121</v>
      </c>
      <c r="C460" s="49">
        <f t="shared" si="10"/>
        <v>32.1</v>
      </c>
      <c r="D460" s="54">
        <f>24*1.07</f>
        <v>25.68</v>
      </c>
    </row>
    <row r="461" spans="1:4" ht="29.25" customHeight="1">
      <c r="A461" s="36">
        <v>2</v>
      </c>
      <c r="B461" s="21" t="s">
        <v>122</v>
      </c>
      <c r="C461" s="49">
        <f t="shared" si="10"/>
        <v>34.775</v>
      </c>
      <c r="D461" s="54">
        <f>26*1.07</f>
        <v>27.82</v>
      </c>
    </row>
    <row r="462" spans="1:4" ht="29.25" customHeight="1">
      <c r="A462" s="36">
        <v>3</v>
      </c>
      <c r="B462" s="21" t="s">
        <v>740</v>
      </c>
      <c r="C462" s="49">
        <f t="shared" si="10"/>
        <v>58.85000000000001</v>
      </c>
      <c r="D462" s="54">
        <f>44*1.07</f>
        <v>47.080000000000005</v>
      </c>
    </row>
    <row r="463" spans="1:4" ht="29.25" customHeight="1">
      <c r="A463" s="36">
        <v>4</v>
      </c>
      <c r="B463" s="21" t="s">
        <v>275</v>
      </c>
      <c r="C463" s="49">
        <f t="shared" si="10"/>
        <v>203.3</v>
      </c>
      <c r="D463" s="54">
        <f>152*1.07</f>
        <v>162.64000000000001</v>
      </c>
    </row>
    <row r="464" spans="1:4" ht="29.25" customHeight="1">
      <c r="A464" s="36">
        <v>5</v>
      </c>
      <c r="B464" s="21" t="s">
        <v>123</v>
      </c>
      <c r="C464" s="49">
        <f t="shared" si="10"/>
        <v>410.6125</v>
      </c>
      <c r="D464" s="54">
        <f>307*1.07</f>
        <v>328.49</v>
      </c>
    </row>
    <row r="465" spans="1:4" ht="29.25" customHeight="1">
      <c r="A465" s="36">
        <v>6</v>
      </c>
      <c r="B465" s="21" t="s">
        <v>276</v>
      </c>
      <c r="C465" s="49">
        <f t="shared" si="10"/>
        <v>195.275</v>
      </c>
      <c r="D465" s="54">
        <f>146*1.07</f>
        <v>156.22</v>
      </c>
    </row>
    <row r="466" spans="1:4" ht="29.25" customHeight="1">
      <c r="A466" s="36">
        <v>7</v>
      </c>
      <c r="B466" s="21" t="s">
        <v>277</v>
      </c>
      <c r="C466" s="49">
        <f t="shared" si="10"/>
        <v>54.837500000000006</v>
      </c>
      <c r="D466" s="54">
        <f>41*1.07</f>
        <v>43.870000000000005</v>
      </c>
    </row>
    <row r="467" spans="1:4" s="8" customFormat="1" ht="27.75">
      <c r="A467" s="40"/>
      <c r="B467" s="37" t="s">
        <v>124</v>
      </c>
      <c r="C467" s="49"/>
      <c r="D467" s="55"/>
    </row>
    <row r="468" spans="1:4" ht="54">
      <c r="A468" s="36"/>
      <c r="B468" s="26" t="s">
        <v>125</v>
      </c>
      <c r="C468" s="49"/>
      <c r="D468" s="54"/>
    </row>
    <row r="469" spans="1:4" ht="30" customHeight="1">
      <c r="A469" s="36">
        <v>1</v>
      </c>
      <c r="B469" s="21" t="s">
        <v>278</v>
      </c>
      <c r="C469" s="49">
        <f aca="true" t="shared" si="11" ref="C469:C532">SUM(D469*1.25)</f>
        <v>260.8125</v>
      </c>
      <c r="D469" s="54">
        <f>195*1.07</f>
        <v>208.65</v>
      </c>
    </row>
    <row r="470" spans="1:4" ht="30" customHeight="1">
      <c r="A470" s="36"/>
      <c r="B470" s="21" t="s">
        <v>279</v>
      </c>
      <c r="C470" s="49"/>
      <c r="D470" s="54"/>
    </row>
    <row r="471" spans="1:4" ht="30" customHeight="1">
      <c r="A471" s="36">
        <v>2</v>
      </c>
      <c r="B471" s="21" t="s">
        <v>544</v>
      </c>
      <c r="C471" s="49">
        <f t="shared" si="11"/>
        <v>260.8125</v>
      </c>
      <c r="D471" s="54">
        <f>195*1.07</f>
        <v>208.65</v>
      </c>
    </row>
    <row r="472" spans="1:4" ht="30" customHeight="1">
      <c r="A472" s="36">
        <v>3</v>
      </c>
      <c r="B472" s="21" t="s">
        <v>545</v>
      </c>
      <c r="C472" s="49">
        <f t="shared" si="11"/>
        <v>390.55</v>
      </c>
      <c r="D472" s="54">
        <f>292*1.07</f>
        <v>312.44</v>
      </c>
    </row>
    <row r="473" spans="1:4" ht="30" customHeight="1">
      <c r="A473" s="36">
        <v>4</v>
      </c>
      <c r="B473" s="21" t="s">
        <v>126</v>
      </c>
      <c r="C473" s="49">
        <f t="shared" si="11"/>
        <v>521.625</v>
      </c>
      <c r="D473" s="54">
        <f>390*1.07</f>
        <v>417.3</v>
      </c>
    </row>
    <row r="474" spans="1:4" ht="30" customHeight="1">
      <c r="A474" s="36">
        <v>5</v>
      </c>
      <c r="B474" s="21" t="s">
        <v>280</v>
      </c>
      <c r="C474" s="49">
        <f t="shared" si="11"/>
        <v>260.8125</v>
      </c>
      <c r="D474" s="54">
        <f>195*1.07</f>
        <v>208.65</v>
      </c>
    </row>
    <row r="475" spans="1:4" ht="30" customHeight="1">
      <c r="A475" s="36">
        <v>6</v>
      </c>
      <c r="B475" s="21" t="s">
        <v>127</v>
      </c>
      <c r="C475" s="49">
        <f t="shared" si="11"/>
        <v>494.87500000000006</v>
      </c>
      <c r="D475" s="54">
        <f>370*1.07</f>
        <v>395.90000000000003</v>
      </c>
    </row>
    <row r="476" spans="1:4" ht="55.5" customHeight="1">
      <c r="A476" s="36"/>
      <c r="B476" s="26" t="s">
        <v>128</v>
      </c>
      <c r="C476" s="49"/>
      <c r="D476" s="54"/>
    </row>
    <row r="477" spans="1:4" ht="32.25" customHeight="1">
      <c r="A477" s="36">
        <v>1</v>
      </c>
      <c r="B477" s="21" t="s">
        <v>129</v>
      </c>
      <c r="C477" s="49">
        <f t="shared" si="11"/>
        <v>274.1875</v>
      </c>
      <c r="D477" s="54">
        <f>205*1.07</f>
        <v>219.35000000000002</v>
      </c>
    </row>
    <row r="478" spans="1:4" ht="32.25" customHeight="1">
      <c r="A478" s="36">
        <v>2</v>
      </c>
      <c r="B478" s="21" t="s">
        <v>130</v>
      </c>
      <c r="C478" s="49">
        <f t="shared" si="11"/>
        <v>438.70000000000005</v>
      </c>
      <c r="D478" s="54">
        <f>328*1.07</f>
        <v>350.96000000000004</v>
      </c>
    </row>
    <row r="479" spans="1:4" ht="51.75" customHeight="1">
      <c r="A479" s="36">
        <v>3</v>
      </c>
      <c r="B479" s="21" t="s">
        <v>697</v>
      </c>
      <c r="C479" s="49">
        <f t="shared" si="11"/>
        <v>549.7125000000001</v>
      </c>
      <c r="D479" s="54">
        <f>411*1.07</f>
        <v>439.77000000000004</v>
      </c>
    </row>
    <row r="480" spans="1:4" ht="51.75" customHeight="1">
      <c r="A480" s="36">
        <v>4</v>
      </c>
      <c r="B480" s="21" t="s">
        <v>131</v>
      </c>
      <c r="C480" s="49">
        <f t="shared" si="11"/>
        <v>260.8125</v>
      </c>
      <c r="D480" s="54">
        <f>195*1.07</f>
        <v>208.65</v>
      </c>
    </row>
    <row r="481" spans="1:4" ht="33" customHeight="1">
      <c r="A481" s="36">
        <v>5</v>
      </c>
      <c r="B481" s="21" t="s">
        <v>281</v>
      </c>
      <c r="C481" s="49">
        <f t="shared" si="11"/>
        <v>390.55</v>
      </c>
      <c r="D481" s="54">
        <f>292*1.07</f>
        <v>312.44</v>
      </c>
    </row>
    <row r="482" spans="1:4" ht="55.5" customHeight="1">
      <c r="A482" s="36">
        <v>6</v>
      </c>
      <c r="B482" s="21" t="s">
        <v>132</v>
      </c>
      <c r="C482" s="49">
        <f t="shared" si="11"/>
        <v>782.4375</v>
      </c>
      <c r="D482" s="54">
        <f>585*1.07</f>
        <v>625.95</v>
      </c>
    </row>
    <row r="483" spans="1:4" ht="27.75">
      <c r="A483" s="36">
        <v>7</v>
      </c>
      <c r="B483" s="21" t="s">
        <v>282</v>
      </c>
      <c r="C483" s="49">
        <f t="shared" si="11"/>
        <v>912.175</v>
      </c>
      <c r="D483" s="54">
        <f>682*1.07</f>
        <v>729.74</v>
      </c>
    </row>
    <row r="484" spans="1:4" ht="54">
      <c r="A484" s="36"/>
      <c r="B484" s="26" t="s">
        <v>546</v>
      </c>
      <c r="C484" s="49"/>
      <c r="D484" s="54"/>
    </row>
    <row r="485" spans="1:4" ht="55.5">
      <c r="A485" s="36"/>
      <c r="B485" s="21" t="s">
        <v>133</v>
      </c>
      <c r="C485" s="49"/>
      <c r="D485" s="54"/>
    </row>
    <row r="486" spans="1:4" ht="27.75">
      <c r="A486" s="36">
        <v>1</v>
      </c>
      <c r="B486" s="21" t="s">
        <v>544</v>
      </c>
      <c r="C486" s="49">
        <f t="shared" si="11"/>
        <v>260.8125</v>
      </c>
      <c r="D486" s="54">
        <f>195*1.07</f>
        <v>208.65</v>
      </c>
    </row>
    <row r="487" spans="1:4" ht="27.75">
      <c r="A487" s="36">
        <v>2</v>
      </c>
      <c r="B487" s="21" t="s">
        <v>545</v>
      </c>
      <c r="C487" s="49">
        <f t="shared" si="11"/>
        <v>390.55</v>
      </c>
      <c r="D487" s="54">
        <f>292*1.07</f>
        <v>312.44</v>
      </c>
    </row>
    <row r="488" spans="1:4" ht="27" customHeight="1">
      <c r="A488" s="36">
        <v>3</v>
      </c>
      <c r="B488" s="21" t="s">
        <v>283</v>
      </c>
      <c r="C488" s="49">
        <f t="shared" si="11"/>
        <v>390.55</v>
      </c>
      <c r="D488" s="54">
        <f>292*1.07</f>
        <v>312.44</v>
      </c>
    </row>
    <row r="489" spans="1:4" ht="27" customHeight="1">
      <c r="A489" s="36">
        <v>4</v>
      </c>
      <c r="B489" s="21" t="s">
        <v>547</v>
      </c>
      <c r="C489" s="49">
        <f t="shared" si="11"/>
        <v>260.8125</v>
      </c>
      <c r="D489" s="54">
        <f>195*1.07</f>
        <v>208.65</v>
      </c>
    </row>
    <row r="490" spans="1:4" ht="27" customHeight="1">
      <c r="A490" s="36">
        <v>5</v>
      </c>
      <c r="B490" s="21" t="s">
        <v>715</v>
      </c>
      <c r="C490" s="49">
        <f t="shared" si="11"/>
        <v>390.55</v>
      </c>
      <c r="D490" s="54">
        <f>292*1.07</f>
        <v>312.44</v>
      </c>
    </row>
    <row r="491" spans="1:4" ht="27" customHeight="1">
      <c r="A491" s="36">
        <v>6</v>
      </c>
      <c r="B491" s="21" t="s">
        <v>548</v>
      </c>
      <c r="C491" s="49">
        <f t="shared" si="11"/>
        <v>390.55</v>
      </c>
      <c r="D491" s="54">
        <f>292*1.07</f>
        <v>312.44</v>
      </c>
    </row>
    <row r="492" spans="1:4" ht="27" customHeight="1">
      <c r="A492" s="36">
        <v>7</v>
      </c>
      <c r="B492" s="21" t="s">
        <v>549</v>
      </c>
      <c r="C492" s="49">
        <f t="shared" si="11"/>
        <v>390.55</v>
      </c>
      <c r="D492" s="54">
        <f>292*1.07</f>
        <v>312.44</v>
      </c>
    </row>
    <row r="493" spans="1:4" ht="27" customHeight="1">
      <c r="A493" s="36">
        <v>8</v>
      </c>
      <c r="B493" s="21" t="s">
        <v>550</v>
      </c>
      <c r="C493" s="49">
        <f t="shared" si="11"/>
        <v>390.55</v>
      </c>
      <c r="D493" s="54">
        <f>292*1.07</f>
        <v>312.44</v>
      </c>
    </row>
    <row r="494" spans="1:4" ht="27" customHeight="1">
      <c r="A494" s="36">
        <v>9</v>
      </c>
      <c r="B494" s="21" t="s">
        <v>551</v>
      </c>
      <c r="C494" s="49">
        <f t="shared" si="11"/>
        <v>260.8125</v>
      </c>
      <c r="D494" s="54">
        <f>195*1.07</f>
        <v>208.65</v>
      </c>
    </row>
    <row r="495" spans="1:4" ht="27" customHeight="1">
      <c r="A495" s="36">
        <v>10</v>
      </c>
      <c r="B495" s="21" t="s">
        <v>552</v>
      </c>
      <c r="C495" s="49">
        <f t="shared" si="11"/>
        <v>390.55</v>
      </c>
      <c r="D495" s="54">
        <f>292*1.07</f>
        <v>312.44</v>
      </c>
    </row>
    <row r="496" spans="1:4" ht="29.25" customHeight="1">
      <c r="A496" s="36"/>
      <c r="B496" s="26" t="s">
        <v>553</v>
      </c>
      <c r="C496" s="49"/>
      <c r="D496" s="54"/>
    </row>
    <row r="497" spans="1:4" ht="27.75">
      <c r="A497" s="36">
        <v>1</v>
      </c>
      <c r="B497" s="21" t="s">
        <v>134</v>
      </c>
      <c r="C497" s="49">
        <f t="shared" si="11"/>
        <v>390.55</v>
      </c>
      <c r="D497" s="54">
        <f>292*1.07</f>
        <v>312.44</v>
      </c>
    </row>
    <row r="498" spans="1:4" ht="27.75">
      <c r="A498" s="36">
        <v>2</v>
      </c>
      <c r="B498" s="21" t="s">
        <v>135</v>
      </c>
      <c r="C498" s="49">
        <f t="shared" si="11"/>
        <v>521.625</v>
      </c>
      <c r="D498" s="54">
        <f>390*1.07</f>
        <v>417.3</v>
      </c>
    </row>
    <row r="499" spans="1:4" ht="27.75">
      <c r="A499" s="36">
        <v>3</v>
      </c>
      <c r="B499" s="21" t="s">
        <v>136</v>
      </c>
      <c r="C499" s="49">
        <f t="shared" si="11"/>
        <v>521.625</v>
      </c>
      <c r="D499" s="54">
        <f>390*1.07</f>
        <v>417.3</v>
      </c>
    </row>
    <row r="500" spans="1:4" ht="28.5" customHeight="1">
      <c r="A500" s="36">
        <v>4</v>
      </c>
      <c r="B500" s="21" t="s">
        <v>716</v>
      </c>
      <c r="C500" s="49">
        <f t="shared" si="11"/>
        <v>521.625</v>
      </c>
      <c r="D500" s="54">
        <f>390*1.07</f>
        <v>417.3</v>
      </c>
    </row>
    <row r="501" spans="1:4" ht="27.75">
      <c r="A501" s="36">
        <v>5</v>
      </c>
      <c r="B501" s="21" t="s">
        <v>284</v>
      </c>
      <c r="C501" s="49">
        <f t="shared" si="11"/>
        <v>521.625</v>
      </c>
      <c r="D501" s="54">
        <f>390*1.07</f>
        <v>417.3</v>
      </c>
    </row>
    <row r="502" spans="1:4" ht="27.75">
      <c r="A502" s="36">
        <v>6</v>
      </c>
      <c r="B502" s="21" t="s">
        <v>285</v>
      </c>
      <c r="C502" s="49">
        <f t="shared" si="11"/>
        <v>521.625</v>
      </c>
      <c r="D502" s="54">
        <f>390*1.07</f>
        <v>417.3</v>
      </c>
    </row>
    <row r="503" spans="1:4" ht="27.75">
      <c r="A503" s="36">
        <v>7</v>
      </c>
      <c r="B503" s="21" t="s">
        <v>554</v>
      </c>
      <c r="C503" s="49">
        <f t="shared" si="11"/>
        <v>260.8125</v>
      </c>
      <c r="D503" s="54">
        <f>195*1.07</f>
        <v>208.65</v>
      </c>
    </row>
    <row r="504" spans="1:4" ht="30.75" customHeight="1">
      <c r="A504" s="36">
        <v>8</v>
      </c>
      <c r="B504" s="21" t="s">
        <v>555</v>
      </c>
      <c r="C504" s="49">
        <f t="shared" si="11"/>
        <v>521.625</v>
      </c>
      <c r="D504" s="54">
        <f>390*1.07</f>
        <v>417.3</v>
      </c>
    </row>
    <row r="505" spans="1:4" ht="27.75">
      <c r="A505" s="36">
        <v>9</v>
      </c>
      <c r="B505" s="21" t="s">
        <v>556</v>
      </c>
      <c r="C505" s="49">
        <f t="shared" si="11"/>
        <v>346.4125</v>
      </c>
      <c r="D505" s="54">
        <f>259*1.07</f>
        <v>277.13</v>
      </c>
    </row>
    <row r="506" spans="1:4" ht="54.75" customHeight="1">
      <c r="A506" s="36">
        <v>10</v>
      </c>
      <c r="B506" s="21" t="s">
        <v>137</v>
      </c>
      <c r="C506" s="49">
        <f t="shared" si="11"/>
        <v>912.175</v>
      </c>
      <c r="D506" s="54">
        <f>682*1.07</f>
        <v>729.74</v>
      </c>
    </row>
    <row r="507" spans="1:4" ht="27.75">
      <c r="A507" s="36"/>
      <c r="B507" s="37" t="s">
        <v>138</v>
      </c>
      <c r="C507" s="49"/>
      <c r="D507" s="54"/>
    </row>
    <row r="508" spans="1:4" ht="27.75">
      <c r="A508" s="36">
        <v>1</v>
      </c>
      <c r="B508" s="21" t="s">
        <v>139</v>
      </c>
      <c r="C508" s="49">
        <f t="shared" si="11"/>
        <v>164.51250000000002</v>
      </c>
      <c r="D508" s="54">
        <f>123*1.07</f>
        <v>131.61</v>
      </c>
    </row>
    <row r="509" spans="1:4" ht="33" customHeight="1">
      <c r="A509" s="36">
        <v>2</v>
      </c>
      <c r="B509" s="21" t="s">
        <v>140</v>
      </c>
      <c r="C509" s="49">
        <f t="shared" si="11"/>
        <v>322.3375</v>
      </c>
      <c r="D509" s="54">
        <f>241*1.07</f>
        <v>257.87</v>
      </c>
    </row>
    <row r="510" spans="1:4" ht="27" customHeight="1">
      <c r="A510" s="36">
        <v>3</v>
      </c>
      <c r="B510" s="21" t="s">
        <v>141</v>
      </c>
      <c r="C510" s="49">
        <f t="shared" si="11"/>
        <v>351.76250000000005</v>
      </c>
      <c r="D510" s="54">
        <f>263*1.07</f>
        <v>281.41</v>
      </c>
    </row>
    <row r="511" spans="1:4" ht="33.75" customHeight="1">
      <c r="A511" s="36"/>
      <c r="B511" s="26" t="s">
        <v>142</v>
      </c>
      <c r="C511" s="49"/>
      <c r="D511" s="54"/>
    </row>
    <row r="512" spans="1:4" ht="30.75" customHeight="1">
      <c r="A512" s="36">
        <v>1</v>
      </c>
      <c r="B512" s="21" t="s">
        <v>143</v>
      </c>
      <c r="C512" s="49">
        <f t="shared" si="11"/>
        <v>1043.25</v>
      </c>
      <c r="D512" s="54">
        <f>780*1.07</f>
        <v>834.6</v>
      </c>
    </row>
    <row r="513" spans="1:4" ht="30.75" customHeight="1">
      <c r="A513" s="36">
        <v>2</v>
      </c>
      <c r="B513" s="21" t="s">
        <v>286</v>
      </c>
      <c r="C513" s="49">
        <f t="shared" si="11"/>
        <v>712.8875</v>
      </c>
      <c r="D513" s="54">
        <f>533*1.07</f>
        <v>570.3100000000001</v>
      </c>
    </row>
    <row r="514" spans="1:4" ht="32.25" customHeight="1">
      <c r="A514" s="36"/>
      <c r="B514" s="26" t="s">
        <v>144</v>
      </c>
      <c r="C514" s="49"/>
      <c r="D514" s="54"/>
    </row>
    <row r="515" spans="1:4" ht="55.5">
      <c r="A515" s="36">
        <v>1</v>
      </c>
      <c r="B515" s="21" t="s">
        <v>557</v>
      </c>
      <c r="C515" s="49">
        <f t="shared" si="11"/>
        <v>390.55</v>
      </c>
      <c r="D515" s="54">
        <f>292*1.07</f>
        <v>312.44</v>
      </c>
    </row>
    <row r="516" spans="1:4" ht="30.75" customHeight="1">
      <c r="A516" s="36">
        <v>2</v>
      </c>
      <c r="B516" s="21" t="s">
        <v>558</v>
      </c>
      <c r="C516" s="49">
        <f t="shared" si="11"/>
        <v>260.8125</v>
      </c>
      <c r="D516" s="54">
        <f>195*1.07</f>
        <v>208.65</v>
      </c>
    </row>
    <row r="517" spans="1:4" ht="31.5" customHeight="1">
      <c r="A517" s="36">
        <v>3</v>
      </c>
      <c r="B517" s="21" t="s">
        <v>559</v>
      </c>
      <c r="C517" s="49">
        <f t="shared" si="11"/>
        <v>260.8125</v>
      </c>
      <c r="D517" s="54">
        <f>195*1.07</f>
        <v>208.65</v>
      </c>
    </row>
    <row r="518" spans="1:4" ht="56.25" customHeight="1">
      <c r="A518" s="36">
        <v>4</v>
      </c>
      <c r="B518" s="21" t="s">
        <v>560</v>
      </c>
      <c r="C518" s="49">
        <f t="shared" si="11"/>
        <v>260.8125</v>
      </c>
      <c r="D518" s="54">
        <f>195*1.07</f>
        <v>208.65</v>
      </c>
    </row>
    <row r="519" spans="1:4" ht="36.75" customHeight="1">
      <c r="A519" s="36">
        <v>5</v>
      </c>
      <c r="B519" s="21" t="s">
        <v>289</v>
      </c>
      <c r="C519" s="49">
        <f t="shared" si="11"/>
        <v>260.8125</v>
      </c>
      <c r="D519" s="54">
        <f>195*1.07</f>
        <v>208.65</v>
      </c>
    </row>
    <row r="520" spans="1:4" ht="33" customHeight="1">
      <c r="A520" s="36"/>
      <c r="B520" s="26" t="s">
        <v>145</v>
      </c>
      <c r="C520" s="49"/>
      <c r="D520" s="54"/>
    </row>
    <row r="521" spans="1:4" ht="30" customHeight="1">
      <c r="A521" s="36">
        <v>1</v>
      </c>
      <c r="B521" s="21" t="s">
        <v>146</v>
      </c>
      <c r="C521" s="49">
        <f t="shared" si="11"/>
        <v>782.4375</v>
      </c>
      <c r="D521" s="54">
        <f>585*1.07</f>
        <v>625.95</v>
      </c>
    </row>
    <row r="522" spans="1:4" ht="28.5" customHeight="1">
      <c r="A522" s="36">
        <v>2</v>
      </c>
      <c r="B522" s="21" t="s">
        <v>147</v>
      </c>
      <c r="C522" s="49">
        <f t="shared" si="11"/>
        <v>390.55</v>
      </c>
      <c r="D522" s="54">
        <f>292*1.07</f>
        <v>312.44</v>
      </c>
    </row>
    <row r="523" spans="1:4" ht="28.5" customHeight="1">
      <c r="A523" s="36">
        <v>3</v>
      </c>
      <c r="B523" s="21" t="s">
        <v>287</v>
      </c>
      <c r="C523" s="49">
        <f t="shared" si="11"/>
        <v>782.4375</v>
      </c>
      <c r="D523" s="54">
        <f>585*1.07</f>
        <v>625.95</v>
      </c>
    </row>
    <row r="524" spans="1:4" ht="28.5" customHeight="1">
      <c r="A524" s="36">
        <v>4</v>
      </c>
      <c r="B524" s="21" t="s">
        <v>288</v>
      </c>
      <c r="C524" s="49">
        <f t="shared" si="11"/>
        <v>521.625</v>
      </c>
      <c r="D524" s="54">
        <f>390*1.07</f>
        <v>417.3</v>
      </c>
    </row>
    <row r="525" spans="1:4" s="8" customFormat="1" ht="28.5" customHeight="1">
      <c r="A525" s="40"/>
      <c r="B525" s="37" t="s">
        <v>148</v>
      </c>
      <c r="C525" s="49"/>
      <c r="D525" s="55"/>
    </row>
    <row r="526" spans="1:4" ht="28.5" customHeight="1">
      <c r="A526" s="36"/>
      <c r="B526" s="20" t="s">
        <v>149</v>
      </c>
      <c r="C526" s="49"/>
      <c r="D526" s="54"/>
    </row>
    <row r="527" spans="1:4" ht="27.75">
      <c r="A527" s="36">
        <v>1</v>
      </c>
      <c r="B527" s="21" t="s">
        <v>150</v>
      </c>
      <c r="C527" s="49">
        <f t="shared" si="11"/>
        <v>94.9625</v>
      </c>
      <c r="D527" s="54">
        <f>71*1.07</f>
        <v>75.97</v>
      </c>
    </row>
    <row r="528" spans="1:4" ht="27.75">
      <c r="A528" s="36">
        <v>2</v>
      </c>
      <c r="B528" s="21" t="s">
        <v>49</v>
      </c>
      <c r="C528" s="49">
        <f t="shared" si="11"/>
        <v>183.2375</v>
      </c>
      <c r="D528" s="54">
        <f>137*1.07</f>
        <v>146.59</v>
      </c>
    </row>
    <row r="529" spans="1:4" ht="33.75" customHeight="1">
      <c r="A529" s="36">
        <v>3</v>
      </c>
      <c r="B529" s="21" t="s">
        <v>706</v>
      </c>
      <c r="C529" s="49">
        <f t="shared" si="11"/>
        <v>183.2375</v>
      </c>
      <c r="D529" s="54">
        <f>137*1.07</f>
        <v>146.59</v>
      </c>
    </row>
    <row r="530" spans="1:4" ht="30.75" customHeight="1">
      <c r="A530" s="36">
        <v>4</v>
      </c>
      <c r="B530" s="21" t="s">
        <v>21</v>
      </c>
      <c r="C530" s="49">
        <f t="shared" si="11"/>
        <v>244.7625</v>
      </c>
      <c r="D530" s="54">
        <f>183*1.07</f>
        <v>195.81</v>
      </c>
    </row>
    <row r="531" spans="1:4" ht="27.75">
      <c r="A531" s="36"/>
      <c r="B531" s="20" t="s">
        <v>151</v>
      </c>
      <c r="C531" s="49"/>
      <c r="D531" s="54"/>
    </row>
    <row r="532" spans="1:4" ht="28.5" customHeight="1">
      <c r="A532" s="36">
        <v>1</v>
      </c>
      <c r="B532" s="21" t="s">
        <v>150</v>
      </c>
      <c r="C532" s="49">
        <f t="shared" si="11"/>
        <v>111.0125</v>
      </c>
      <c r="D532" s="54">
        <f>83*1.07</f>
        <v>88.81</v>
      </c>
    </row>
    <row r="533" spans="1:4" ht="28.5" customHeight="1">
      <c r="A533" s="36">
        <v>2</v>
      </c>
      <c r="B533" s="21" t="s">
        <v>49</v>
      </c>
      <c r="C533" s="49">
        <f aca="true" t="shared" si="12" ref="C533:C538">SUM(D533*1.25)</f>
        <v>223.3625</v>
      </c>
      <c r="D533" s="54">
        <f>167*1.07</f>
        <v>178.69</v>
      </c>
    </row>
    <row r="534" spans="1:4" ht="28.5" customHeight="1">
      <c r="A534" s="36">
        <v>3</v>
      </c>
      <c r="B534" s="21" t="s">
        <v>706</v>
      </c>
      <c r="C534" s="49">
        <f t="shared" si="12"/>
        <v>223.3625</v>
      </c>
      <c r="D534" s="54">
        <f>167*1.07</f>
        <v>178.69</v>
      </c>
    </row>
    <row r="535" spans="1:4" ht="28.5" customHeight="1">
      <c r="A535" s="36">
        <v>4</v>
      </c>
      <c r="B535" s="21" t="s">
        <v>21</v>
      </c>
      <c r="C535" s="49">
        <f t="shared" si="12"/>
        <v>312.975</v>
      </c>
      <c r="D535" s="54">
        <f>234*1.07</f>
        <v>250.38000000000002</v>
      </c>
    </row>
    <row r="536" spans="1:4" ht="28.5" customHeight="1">
      <c r="A536" s="36">
        <v>5</v>
      </c>
      <c r="B536" s="21" t="s">
        <v>562</v>
      </c>
      <c r="C536" s="49">
        <f t="shared" si="12"/>
        <v>153.8125</v>
      </c>
      <c r="D536" s="54">
        <f>115*1.07</f>
        <v>123.05000000000001</v>
      </c>
    </row>
    <row r="537" spans="1:4" ht="28.5" customHeight="1">
      <c r="A537" s="36">
        <v>6</v>
      </c>
      <c r="B537" s="21" t="s">
        <v>152</v>
      </c>
      <c r="C537" s="49">
        <f t="shared" si="12"/>
        <v>37.45</v>
      </c>
      <c r="D537" s="54">
        <f>28*1.07</f>
        <v>29.96</v>
      </c>
    </row>
    <row r="538" spans="1:4" ht="28.5" customHeight="1">
      <c r="A538" s="36">
        <v>7</v>
      </c>
      <c r="B538" s="21" t="s">
        <v>153</v>
      </c>
      <c r="C538" s="49">
        <f t="shared" si="12"/>
        <v>53.50000000000001</v>
      </c>
      <c r="D538" s="54">
        <f>40*1.07</f>
        <v>42.800000000000004</v>
      </c>
    </row>
    <row r="539" spans="1:4" ht="27.75">
      <c r="A539" s="36"/>
      <c r="B539" s="20" t="s">
        <v>154</v>
      </c>
      <c r="C539" s="49"/>
      <c r="D539" s="54"/>
    </row>
    <row r="540" spans="1:4" ht="32.25" customHeight="1">
      <c r="A540" s="36">
        <v>1</v>
      </c>
      <c r="B540" s="21" t="s">
        <v>150</v>
      </c>
      <c r="C540" s="49">
        <f aca="true" t="shared" si="13" ref="C540:C548">SUM(D540*1.25)</f>
        <v>66.875</v>
      </c>
      <c r="D540" s="54">
        <f>50*1.07</f>
        <v>53.5</v>
      </c>
    </row>
    <row r="541" spans="1:4" ht="31.5" customHeight="1">
      <c r="A541" s="36">
        <v>2</v>
      </c>
      <c r="B541" s="21" t="s">
        <v>49</v>
      </c>
      <c r="C541" s="49">
        <f t="shared" si="13"/>
        <v>135.0875</v>
      </c>
      <c r="D541" s="54">
        <f>101*1.07</f>
        <v>108.07000000000001</v>
      </c>
    </row>
    <row r="542" spans="1:4" ht="27.75">
      <c r="A542" s="36">
        <v>3</v>
      </c>
      <c r="B542" s="21" t="s">
        <v>706</v>
      </c>
      <c r="C542" s="49">
        <f t="shared" si="13"/>
        <v>135.0875</v>
      </c>
      <c r="D542" s="54">
        <f>101*1.07</f>
        <v>108.07000000000001</v>
      </c>
    </row>
    <row r="543" spans="1:4" ht="27.75">
      <c r="A543" s="36"/>
      <c r="B543" s="20" t="s">
        <v>155</v>
      </c>
      <c r="C543" s="49"/>
      <c r="D543" s="54"/>
    </row>
    <row r="544" spans="1:4" ht="27.75">
      <c r="A544" s="36">
        <v>1</v>
      </c>
      <c r="B544" s="21" t="s">
        <v>49</v>
      </c>
      <c r="C544" s="49">
        <f t="shared" si="13"/>
        <v>203.3</v>
      </c>
      <c r="D544" s="54">
        <f>152*1.07</f>
        <v>162.64000000000001</v>
      </c>
    </row>
    <row r="545" spans="1:4" ht="29.25" customHeight="1">
      <c r="A545" s="36">
        <v>2</v>
      </c>
      <c r="B545" s="21" t="s">
        <v>706</v>
      </c>
      <c r="C545" s="49">
        <f t="shared" si="13"/>
        <v>203.3</v>
      </c>
      <c r="D545" s="54">
        <f>152*1.07</f>
        <v>162.64000000000001</v>
      </c>
    </row>
    <row r="546" spans="1:4" ht="29.25" customHeight="1">
      <c r="A546" s="36">
        <v>3</v>
      </c>
      <c r="B546" s="21" t="s">
        <v>156</v>
      </c>
      <c r="C546" s="49">
        <f t="shared" si="13"/>
        <v>136.425</v>
      </c>
      <c r="D546" s="54">
        <f>102*1.07</f>
        <v>109.14</v>
      </c>
    </row>
    <row r="547" spans="1:4" ht="29.25" customHeight="1">
      <c r="A547" s="36">
        <v>4</v>
      </c>
      <c r="B547" s="21" t="s">
        <v>157</v>
      </c>
      <c r="C547" s="49">
        <f t="shared" si="13"/>
        <v>128.4</v>
      </c>
      <c r="D547" s="54">
        <f>96*1.07</f>
        <v>102.72</v>
      </c>
    </row>
    <row r="548" spans="1:4" ht="32.25" customHeight="1">
      <c r="A548" s="36">
        <v>5</v>
      </c>
      <c r="B548" s="21" t="s">
        <v>158</v>
      </c>
      <c r="C548" s="49">
        <f t="shared" si="13"/>
        <v>262.15</v>
      </c>
      <c r="D548" s="54">
        <f>196*1.07</f>
        <v>209.72</v>
      </c>
    </row>
    <row r="549" spans="1:4" ht="27.75">
      <c r="A549" s="36"/>
      <c r="B549" s="20" t="s">
        <v>159</v>
      </c>
      <c r="C549" s="49"/>
      <c r="D549" s="54"/>
    </row>
    <row r="550" spans="1:4" ht="28.5" customHeight="1">
      <c r="A550" s="36">
        <v>1</v>
      </c>
      <c r="B550" s="21" t="s">
        <v>49</v>
      </c>
      <c r="C550" s="49">
        <f aca="true" t="shared" si="14" ref="C550:C555">SUM(D550*1.25)</f>
        <v>283.55</v>
      </c>
      <c r="D550" s="54">
        <f>212*1.07</f>
        <v>226.84</v>
      </c>
    </row>
    <row r="551" spans="1:4" ht="28.5" customHeight="1">
      <c r="A551" s="36">
        <v>2</v>
      </c>
      <c r="B551" s="21" t="s">
        <v>561</v>
      </c>
      <c r="C551" s="49">
        <f t="shared" si="14"/>
        <v>220.6875</v>
      </c>
      <c r="D551" s="54">
        <f>165*1.07</f>
        <v>176.55</v>
      </c>
    </row>
    <row r="552" spans="1:4" ht="28.5" customHeight="1">
      <c r="A552" s="36">
        <v>3</v>
      </c>
      <c r="B552" s="21" t="s">
        <v>21</v>
      </c>
      <c r="C552" s="49">
        <f t="shared" si="14"/>
        <v>232.72500000000002</v>
      </c>
      <c r="D552" s="54">
        <f>174*1.07</f>
        <v>186.18</v>
      </c>
    </row>
    <row r="553" spans="1:4" ht="32.25" customHeight="1">
      <c r="A553" s="36"/>
      <c r="B553" s="20" t="s">
        <v>160</v>
      </c>
      <c r="C553" s="49"/>
      <c r="D553" s="54"/>
    </row>
    <row r="554" spans="1:4" ht="27.75" customHeight="1">
      <c r="A554" s="36">
        <v>1</v>
      </c>
      <c r="B554" s="21" t="s">
        <v>49</v>
      </c>
      <c r="C554" s="49">
        <f t="shared" si="14"/>
        <v>350.42500000000007</v>
      </c>
      <c r="D554" s="54">
        <f>262*1.07</f>
        <v>280.34000000000003</v>
      </c>
    </row>
    <row r="555" spans="1:4" ht="34.5" customHeight="1">
      <c r="A555" s="36">
        <v>2</v>
      </c>
      <c r="B555" s="21" t="s">
        <v>706</v>
      </c>
      <c r="C555" s="49">
        <f t="shared" si="14"/>
        <v>263.4875</v>
      </c>
      <c r="D555" s="54">
        <f>197*1.07</f>
        <v>210.79000000000002</v>
      </c>
    </row>
    <row r="556" spans="1:4" ht="33" customHeight="1">
      <c r="A556" s="36"/>
      <c r="B556" s="20" t="s">
        <v>161</v>
      </c>
      <c r="C556" s="49"/>
      <c r="D556" s="54"/>
    </row>
    <row r="557" spans="1:4" ht="33.75" customHeight="1">
      <c r="A557" s="36">
        <v>1</v>
      </c>
      <c r="B557" s="21" t="s">
        <v>49</v>
      </c>
      <c r="C557" s="49">
        <f>SUM(D557*1.25)</f>
        <v>203.3</v>
      </c>
      <c r="D557" s="54">
        <f>152*1.07</f>
        <v>162.64000000000001</v>
      </c>
    </row>
    <row r="558" spans="1:4" ht="33.75" customHeight="1">
      <c r="A558" s="36">
        <v>2</v>
      </c>
      <c r="B558" s="21" t="s">
        <v>706</v>
      </c>
      <c r="C558" s="49">
        <f>SUM(D558*1.25)</f>
        <v>203.3</v>
      </c>
      <c r="D558" s="54">
        <f>152*1.07</f>
        <v>162.64000000000001</v>
      </c>
    </row>
    <row r="559" spans="1:4" ht="27.75">
      <c r="A559" s="36"/>
      <c r="B559" s="20" t="s">
        <v>162</v>
      </c>
      <c r="C559" s="49"/>
      <c r="D559" s="54"/>
    </row>
    <row r="560" spans="1:4" ht="27.75">
      <c r="A560" s="36">
        <v>1</v>
      </c>
      <c r="B560" s="21" t="s">
        <v>150</v>
      </c>
      <c r="C560" s="49">
        <f aca="true" t="shared" si="15" ref="C560:C570">SUM(D560*1.25)</f>
        <v>165.85000000000002</v>
      </c>
      <c r="D560" s="54">
        <f>124*1.07</f>
        <v>132.68</v>
      </c>
    </row>
    <row r="561" spans="1:4" ht="27.75">
      <c r="A561" s="36">
        <v>2</v>
      </c>
      <c r="B561" s="21" t="s">
        <v>49</v>
      </c>
      <c r="C561" s="49">
        <f t="shared" si="15"/>
        <v>254.125</v>
      </c>
      <c r="D561" s="54">
        <f>190*1.07</f>
        <v>203.3</v>
      </c>
    </row>
    <row r="562" spans="1:4" ht="27.75">
      <c r="A562" s="36">
        <v>3</v>
      </c>
      <c r="B562" s="21" t="s">
        <v>163</v>
      </c>
      <c r="C562" s="49">
        <f t="shared" si="15"/>
        <v>254.125</v>
      </c>
      <c r="D562" s="54">
        <f>190*1.07</f>
        <v>203.3</v>
      </c>
    </row>
    <row r="563" spans="1:4" ht="27.75">
      <c r="A563" s="36">
        <v>4</v>
      </c>
      <c r="B563" s="21" t="s">
        <v>164</v>
      </c>
      <c r="C563" s="49">
        <f t="shared" si="15"/>
        <v>151.13750000000002</v>
      </c>
      <c r="D563" s="54">
        <f>113*1.07</f>
        <v>120.91000000000001</v>
      </c>
    </row>
    <row r="564" spans="1:4" ht="27.75">
      <c r="A564" s="36"/>
      <c r="B564" s="20" t="s">
        <v>165</v>
      </c>
      <c r="C564" s="49"/>
      <c r="D564" s="54"/>
    </row>
    <row r="565" spans="1:4" ht="30" customHeight="1">
      <c r="A565" s="36">
        <v>1</v>
      </c>
      <c r="B565" s="21" t="s">
        <v>166</v>
      </c>
      <c r="C565" s="49">
        <f t="shared" si="15"/>
        <v>187.25</v>
      </c>
      <c r="D565" s="54">
        <f>140*1.07</f>
        <v>149.8</v>
      </c>
    </row>
    <row r="566" spans="1:4" ht="33.75" customHeight="1">
      <c r="A566" s="36"/>
      <c r="B566" s="26" t="s">
        <v>167</v>
      </c>
      <c r="C566" s="49"/>
      <c r="D566" s="54"/>
    </row>
    <row r="567" spans="1:4" ht="26.25" customHeight="1">
      <c r="A567" s="36"/>
      <c r="B567" s="26" t="s">
        <v>168</v>
      </c>
      <c r="C567" s="49"/>
      <c r="D567" s="54"/>
    </row>
    <row r="568" spans="1:4" ht="27.75" customHeight="1">
      <c r="A568" s="36">
        <v>2</v>
      </c>
      <c r="B568" s="21" t="s">
        <v>169</v>
      </c>
      <c r="C568" s="49">
        <f t="shared" si="15"/>
        <v>474.8125</v>
      </c>
      <c r="D568" s="54">
        <f>355*1.07</f>
        <v>379.85</v>
      </c>
    </row>
    <row r="569" spans="1:4" ht="30.75" customHeight="1">
      <c r="A569" s="36">
        <v>3</v>
      </c>
      <c r="B569" s="21" t="s">
        <v>170</v>
      </c>
      <c r="C569" s="49">
        <f t="shared" si="15"/>
        <v>537.6750000000001</v>
      </c>
      <c r="D569" s="54">
        <f>402*1.07</f>
        <v>430.14000000000004</v>
      </c>
    </row>
    <row r="570" spans="1:4" ht="30.75" customHeight="1">
      <c r="A570" s="36">
        <v>4</v>
      </c>
      <c r="B570" s="21" t="s">
        <v>171</v>
      </c>
      <c r="C570" s="49">
        <f t="shared" si="15"/>
        <v>838.6125</v>
      </c>
      <c r="D570" s="54">
        <f>627*1.07</f>
        <v>670.89</v>
      </c>
    </row>
    <row r="571" spans="1:4" ht="28.5" customHeight="1">
      <c r="A571" s="36"/>
      <c r="B571" s="26" t="s">
        <v>172</v>
      </c>
      <c r="C571" s="49"/>
      <c r="D571" s="54"/>
    </row>
    <row r="572" spans="1:4" ht="32.25" customHeight="1">
      <c r="A572" s="36"/>
      <c r="B572" s="26" t="s">
        <v>169</v>
      </c>
      <c r="C572" s="49"/>
      <c r="D572" s="54">
        <f>143*1.07</f>
        <v>153.01000000000002</v>
      </c>
    </row>
    <row r="573" spans="1:4" ht="27.75">
      <c r="A573" s="36">
        <v>5</v>
      </c>
      <c r="B573" s="21" t="s">
        <v>171</v>
      </c>
      <c r="C573" s="49">
        <f aca="true" t="shared" si="16" ref="C573:C588">SUM(D573*1.25)</f>
        <v>179.225</v>
      </c>
      <c r="D573" s="54">
        <f>134*1.07</f>
        <v>143.38</v>
      </c>
    </row>
    <row r="574" spans="1:4" ht="33" customHeight="1">
      <c r="A574" s="36"/>
      <c r="B574" s="26" t="s">
        <v>173</v>
      </c>
      <c r="C574" s="49"/>
      <c r="D574" s="54"/>
    </row>
    <row r="575" spans="1:4" ht="28.5" customHeight="1">
      <c r="A575" s="36">
        <v>6</v>
      </c>
      <c r="B575" s="21" t="s">
        <v>169</v>
      </c>
      <c r="C575" s="49">
        <f t="shared" si="16"/>
        <v>486.85</v>
      </c>
      <c r="D575" s="54">
        <f>364*1.07</f>
        <v>389.48</v>
      </c>
    </row>
    <row r="576" spans="1:4" ht="28.5" customHeight="1">
      <c r="A576" s="36">
        <v>7</v>
      </c>
      <c r="B576" s="21" t="s">
        <v>170</v>
      </c>
      <c r="C576" s="49">
        <f t="shared" si="16"/>
        <v>537.6750000000001</v>
      </c>
      <c r="D576" s="54">
        <f>402*1.07</f>
        <v>430.14000000000004</v>
      </c>
    </row>
    <row r="577" spans="1:4" ht="28.5" customHeight="1">
      <c r="A577" s="36">
        <v>8</v>
      </c>
      <c r="B577" s="21" t="s">
        <v>171</v>
      </c>
      <c r="C577" s="49">
        <f t="shared" si="16"/>
        <v>537.6750000000001</v>
      </c>
      <c r="D577" s="54">
        <f>402*1.07</f>
        <v>430.14000000000004</v>
      </c>
    </row>
    <row r="578" spans="1:4" ht="28.5" customHeight="1">
      <c r="A578" s="36">
        <v>9</v>
      </c>
      <c r="B578" s="21" t="s">
        <v>174</v>
      </c>
      <c r="C578" s="49">
        <f t="shared" si="16"/>
        <v>157.82500000000002</v>
      </c>
      <c r="D578" s="54">
        <f>118*1.07</f>
        <v>126.26</v>
      </c>
    </row>
    <row r="579" spans="1:4" ht="33.75" customHeight="1">
      <c r="A579" s="36"/>
      <c r="B579" s="26" t="s">
        <v>175</v>
      </c>
      <c r="C579" s="49"/>
      <c r="D579" s="54"/>
    </row>
    <row r="580" spans="1:4" ht="27.75">
      <c r="A580" s="36">
        <v>10</v>
      </c>
      <c r="B580" s="21" t="s">
        <v>169</v>
      </c>
      <c r="C580" s="49">
        <f t="shared" si="16"/>
        <v>236.7375</v>
      </c>
      <c r="D580" s="54">
        <f>177*1.07</f>
        <v>189.39000000000001</v>
      </c>
    </row>
    <row r="581" spans="1:4" ht="27.75">
      <c r="A581" s="36">
        <v>11</v>
      </c>
      <c r="B581" s="21" t="s">
        <v>171</v>
      </c>
      <c r="C581" s="49">
        <f t="shared" si="16"/>
        <v>236.7375</v>
      </c>
      <c r="D581" s="54">
        <f>177*1.07</f>
        <v>189.39000000000001</v>
      </c>
    </row>
    <row r="582" spans="1:4" ht="27.75">
      <c r="A582" s="36"/>
      <c r="B582" s="26" t="s">
        <v>176</v>
      </c>
      <c r="C582" s="49"/>
      <c r="D582" s="54"/>
    </row>
    <row r="583" spans="1:4" ht="35.25" customHeight="1">
      <c r="A583" s="36">
        <v>12</v>
      </c>
      <c r="B583" s="21" t="s">
        <v>177</v>
      </c>
      <c r="C583" s="49">
        <f t="shared" si="16"/>
        <v>236.7375</v>
      </c>
      <c r="D583" s="54">
        <f>177*1.07</f>
        <v>189.39000000000001</v>
      </c>
    </row>
    <row r="584" spans="1:4" ht="29.25" customHeight="1">
      <c r="A584" s="36">
        <v>13</v>
      </c>
      <c r="B584" s="21" t="s">
        <v>178</v>
      </c>
      <c r="C584" s="49">
        <f t="shared" si="16"/>
        <v>236.7375</v>
      </c>
      <c r="D584" s="54">
        <f>177*1.07</f>
        <v>189.39000000000001</v>
      </c>
    </row>
    <row r="585" spans="1:4" ht="30" customHeight="1">
      <c r="A585" s="36"/>
      <c r="B585" s="26" t="s">
        <v>179</v>
      </c>
      <c r="C585" s="49"/>
      <c r="D585" s="54"/>
    </row>
    <row r="586" spans="1:4" ht="27.75">
      <c r="A586" s="36">
        <v>14</v>
      </c>
      <c r="B586" s="21" t="s">
        <v>180</v>
      </c>
      <c r="C586" s="49">
        <f t="shared" si="16"/>
        <v>212.66250000000002</v>
      </c>
      <c r="D586" s="54">
        <f>159*1.07</f>
        <v>170.13000000000002</v>
      </c>
    </row>
    <row r="587" spans="1:4" ht="27.75">
      <c r="A587" s="36">
        <v>15</v>
      </c>
      <c r="B587" s="21" t="s">
        <v>181</v>
      </c>
      <c r="C587" s="49">
        <f t="shared" si="16"/>
        <v>212.66250000000002</v>
      </c>
      <c r="D587" s="54">
        <f>159*1.07</f>
        <v>170.13000000000002</v>
      </c>
    </row>
    <row r="588" spans="1:4" ht="30" customHeight="1">
      <c r="A588" s="36">
        <v>16</v>
      </c>
      <c r="B588" s="21" t="s">
        <v>182</v>
      </c>
      <c r="C588" s="49">
        <f t="shared" si="16"/>
        <v>212.66250000000002</v>
      </c>
      <c r="D588" s="54">
        <f>159*1.07</f>
        <v>170.13000000000002</v>
      </c>
    </row>
    <row r="589" spans="1:4" ht="26.25" customHeight="1">
      <c r="A589" s="36"/>
      <c r="B589" s="24" t="s">
        <v>183</v>
      </c>
      <c r="C589" s="49"/>
      <c r="D589" s="54"/>
    </row>
    <row r="590" spans="1:4" ht="26.25" customHeight="1">
      <c r="A590" s="36">
        <v>1</v>
      </c>
      <c r="B590" s="21" t="s">
        <v>184</v>
      </c>
      <c r="C590" s="49">
        <f>SUM(D590*1.25)</f>
        <v>183.2375</v>
      </c>
      <c r="D590" s="54">
        <f>137*1.07</f>
        <v>146.59</v>
      </c>
    </row>
    <row r="591" spans="1:4" ht="27.75">
      <c r="A591" s="36">
        <v>2</v>
      </c>
      <c r="B591" s="21" t="s">
        <v>185</v>
      </c>
      <c r="C591" s="49">
        <f>SUM(D591*1.25)</f>
        <v>290.2375</v>
      </c>
      <c r="D591" s="54">
        <f>217*1.07</f>
        <v>232.19000000000003</v>
      </c>
    </row>
    <row r="592" spans="1:4" ht="28.5" customHeight="1">
      <c r="A592" s="36">
        <v>3</v>
      </c>
      <c r="B592" s="21" t="s">
        <v>186</v>
      </c>
      <c r="C592" s="49">
        <f>SUM(D592*1.25)</f>
        <v>181.9</v>
      </c>
      <c r="D592" s="54">
        <f>136*1.07</f>
        <v>145.52</v>
      </c>
    </row>
    <row r="593" spans="1:4" ht="27" customHeight="1">
      <c r="A593" s="36"/>
      <c r="B593" s="20" t="s">
        <v>187</v>
      </c>
      <c r="C593" s="49"/>
      <c r="D593" s="54"/>
    </row>
    <row r="594" spans="1:4" ht="27" customHeight="1">
      <c r="A594" s="39">
        <v>1</v>
      </c>
      <c r="B594" s="21" t="s">
        <v>694</v>
      </c>
      <c r="C594" s="49">
        <f aca="true" t="shared" si="17" ref="C594:C601">SUM(D594*1.25)</f>
        <v>82.92500000000001</v>
      </c>
      <c r="D594" s="54">
        <f>62*1.07</f>
        <v>66.34</v>
      </c>
    </row>
    <row r="595" spans="1:4" ht="27" customHeight="1">
      <c r="A595" s="39">
        <v>2</v>
      </c>
      <c r="B595" s="21" t="s">
        <v>693</v>
      </c>
      <c r="C595" s="49">
        <v>62</v>
      </c>
      <c r="D595" s="54">
        <f>62*1.07</f>
        <v>66.34</v>
      </c>
    </row>
    <row r="596" spans="1:4" ht="32.25" customHeight="1">
      <c r="A596" s="36">
        <v>3</v>
      </c>
      <c r="B596" s="21" t="s">
        <v>188</v>
      </c>
      <c r="C596" s="49">
        <f t="shared" si="17"/>
        <v>108.3375</v>
      </c>
      <c r="D596" s="54">
        <f>81*1.07</f>
        <v>86.67</v>
      </c>
    </row>
    <row r="597" spans="1:4" ht="28.5" customHeight="1">
      <c r="A597" s="39">
        <v>4</v>
      </c>
      <c r="B597" s="21" t="s">
        <v>189</v>
      </c>
      <c r="C597" s="49">
        <f t="shared" si="17"/>
        <v>212.66250000000002</v>
      </c>
      <c r="D597" s="54">
        <f>159*1.07</f>
        <v>170.13000000000002</v>
      </c>
    </row>
    <row r="598" spans="1:4" ht="27.75">
      <c r="A598" s="39">
        <v>5</v>
      </c>
      <c r="B598" s="21" t="s">
        <v>16</v>
      </c>
      <c r="C598" s="49">
        <f t="shared" si="17"/>
        <v>183.2375</v>
      </c>
      <c r="D598" s="54">
        <f>137*1.07</f>
        <v>146.59</v>
      </c>
    </row>
    <row r="599" spans="1:4" ht="27.75">
      <c r="A599" s="36">
        <v>6</v>
      </c>
      <c r="B599" s="21" t="s">
        <v>17</v>
      </c>
      <c r="C599" s="49">
        <f t="shared" si="17"/>
        <v>183.2375</v>
      </c>
      <c r="D599" s="54">
        <f>137*1.07</f>
        <v>146.59</v>
      </c>
    </row>
    <row r="600" spans="1:4" ht="27.75">
      <c r="A600" s="39">
        <v>7</v>
      </c>
      <c r="B600" s="21" t="s">
        <v>18</v>
      </c>
      <c r="C600" s="49">
        <f t="shared" si="17"/>
        <v>90.95</v>
      </c>
      <c r="D600" s="54">
        <f>68*1.07</f>
        <v>72.76</v>
      </c>
    </row>
    <row r="601" spans="1:4" ht="27.75">
      <c r="A601" s="39">
        <v>8</v>
      </c>
      <c r="B601" s="21" t="s">
        <v>744</v>
      </c>
      <c r="C601" s="49">
        <f t="shared" si="17"/>
        <v>90.95</v>
      </c>
      <c r="D601" s="54">
        <f>68*1.07</f>
        <v>72.76</v>
      </c>
    </row>
    <row r="602" spans="1:4" ht="54.75" customHeight="1">
      <c r="A602" s="36"/>
      <c r="B602" s="37" t="s">
        <v>190</v>
      </c>
      <c r="C602" s="49"/>
      <c r="D602" s="54"/>
    </row>
    <row r="603" spans="1:4" ht="27.75" customHeight="1">
      <c r="A603" s="36">
        <v>1</v>
      </c>
      <c r="B603" s="21" t="s">
        <v>191</v>
      </c>
      <c r="C603" s="49">
        <f aca="true" t="shared" si="18" ref="C603:C615">SUM(D603*1.25)</f>
        <v>421.3125</v>
      </c>
      <c r="D603" s="54">
        <f>315*1.07</f>
        <v>337.05</v>
      </c>
    </row>
    <row r="604" spans="1:4" ht="30" customHeight="1">
      <c r="A604" s="36">
        <v>2</v>
      </c>
      <c r="B604" s="21" t="s">
        <v>707</v>
      </c>
      <c r="C604" s="49">
        <f t="shared" si="18"/>
        <v>164.51250000000002</v>
      </c>
      <c r="D604" s="54">
        <f>123*1.07</f>
        <v>131.61</v>
      </c>
    </row>
    <row r="605" spans="1:4" ht="30" customHeight="1">
      <c r="A605" s="36">
        <v>3</v>
      </c>
      <c r="B605" s="21" t="s">
        <v>192</v>
      </c>
      <c r="C605" s="49">
        <f t="shared" si="18"/>
        <v>226.03750000000002</v>
      </c>
      <c r="D605" s="54">
        <f>169*1.07</f>
        <v>180.83</v>
      </c>
    </row>
    <row r="606" spans="1:4" ht="30" customHeight="1">
      <c r="A606" s="36">
        <v>4</v>
      </c>
      <c r="B606" s="21" t="s">
        <v>708</v>
      </c>
      <c r="C606" s="49">
        <f t="shared" si="18"/>
        <v>246.10000000000002</v>
      </c>
      <c r="D606" s="54">
        <f>184*1.07</f>
        <v>196.88000000000002</v>
      </c>
    </row>
    <row r="607" spans="1:4" ht="30" customHeight="1">
      <c r="A607" s="36">
        <v>5</v>
      </c>
      <c r="B607" s="21" t="s">
        <v>0</v>
      </c>
      <c r="C607" s="49">
        <f t="shared" si="18"/>
        <v>282.21250000000003</v>
      </c>
      <c r="D607" s="54">
        <f>211*1.07</f>
        <v>225.77</v>
      </c>
    </row>
    <row r="608" spans="1:4" ht="30" customHeight="1">
      <c r="A608" s="36">
        <v>6</v>
      </c>
      <c r="B608" s="21" t="s">
        <v>709</v>
      </c>
      <c r="C608" s="49">
        <f t="shared" si="18"/>
        <v>239.4125</v>
      </c>
      <c r="D608" s="54">
        <f>179*1.07</f>
        <v>191.53</v>
      </c>
    </row>
    <row r="609" spans="1:4" ht="30" customHeight="1">
      <c r="A609" s="36">
        <v>7</v>
      </c>
      <c r="B609" s="21" t="s">
        <v>1</v>
      </c>
      <c r="C609" s="49">
        <f t="shared" si="18"/>
        <v>252.78750000000002</v>
      </c>
      <c r="D609" s="54">
        <f>189*1.07</f>
        <v>202.23000000000002</v>
      </c>
    </row>
    <row r="610" spans="1:4" ht="30" customHeight="1">
      <c r="A610" s="36">
        <v>8</v>
      </c>
      <c r="B610" s="21" t="s">
        <v>710</v>
      </c>
      <c r="C610" s="49">
        <f t="shared" si="18"/>
        <v>173.875</v>
      </c>
      <c r="D610" s="54">
        <f>130*1.07</f>
        <v>139.1</v>
      </c>
    </row>
    <row r="611" spans="1:4" ht="30" customHeight="1">
      <c r="A611" s="36">
        <v>9</v>
      </c>
      <c r="B611" s="21" t="s">
        <v>2</v>
      </c>
      <c r="C611" s="49">
        <f t="shared" si="18"/>
        <v>159.16250000000002</v>
      </c>
      <c r="D611" s="54">
        <f>119*1.07</f>
        <v>127.33000000000001</v>
      </c>
    </row>
    <row r="612" spans="1:4" ht="27.75">
      <c r="A612" s="36">
        <v>10</v>
      </c>
      <c r="B612" s="21" t="s">
        <v>711</v>
      </c>
      <c r="C612" s="49">
        <f t="shared" si="18"/>
        <v>171.20000000000002</v>
      </c>
      <c r="D612" s="54">
        <f>128*1.07</f>
        <v>136.96</v>
      </c>
    </row>
    <row r="613" spans="1:4" ht="27.75">
      <c r="A613" s="36">
        <v>11</v>
      </c>
      <c r="B613" s="21" t="s">
        <v>3</v>
      </c>
      <c r="C613" s="49">
        <f t="shared" si="18"/>
        <v>208.65000000000003</v>
      </c>
      <c r="D613" s="54">
        <f>156*1.07</f>
        <v>166.92000000000002</v>
      </c>
    </row>
    <row r="614" spans="1:4" ht="27.75">
      <c r="A614" s="36">
        <v>12</v>
      </c>
      <c r="B614" s="21" t="s">
        <v>712</v>
      </c>
      <c r="C614" s="49">
        <f t="shared" si="18"/>
        <v>147.125</v>
      </c>
      <c r="D614" s="54">
        <f>110*1.07</f>
        <v>117.7</v>
      </c>
    </row>
    <row r="615" spans="1:4" ht="29.25" customHeight="1">
      <c r="A615" s="36">
        <v>13</v>
      </c>
      <c r="B615" s="21" t="s">
        <v>4</v>
      </c>
      <c r="C615" s="49">
        <f t="shared" si="18"/>
        <v>181.9</v>
      </c>
      <c r="D615" s="54">
        <f>136*1.07</f>
        <v>145.52</v>
      </c>
    </row>
    <row r="616" spans="1:4" ht="27.75" customHeight="1">
      <c r="A616" s="36">
        <v>14</v>
      </c>
      <c r="B616" s="21" t="s">
        <v>746</v>
      </c>
      <c r="C616" s="49">
        <f>D616*1.25</f>
        <v>417.30000000000007</v>
      </c>
      <c r="D616" s="50">
        <f>312*1.07</f>
        <v>333.84000000000003</v>
      </c>
    </row>
    <row r="617" spans="1:4" ht="30.75" customHeight="1">
      <c r="A617" s="36">
        <v>15</v>
      </c>
      <c r="B617" s="21" t="s">
        <v>747</v>
      </c>
      <c r="C617" s="49">
        <v>391</v>
      </c>
      <c r="D617" s="50">
        <f>312*1.07</f>
        <v>333.84000000000003</v>
      </c>
    </row>
    <row r="618" spans="1:4" ht="28.5" customHeight="1">
      <c r="A618" s="36"/>
      <c r="B618" s="37" t="s">
        <v>202</v>
      </c>
      <c r="C618" s="49"/>
      <c r="D618" s="54"/>
    </row>
    <row r="619" spans="1:4" ht="30" customHeight="1">
      <c r="A619" s="36">
        <v>1</v>
      </c>
      <c r="B619" s="21" t="s">
        <v>203</v>
      </c>
      <c r="C619" s="49">
        <f aca="true" t="shared" si="19" ref="C619:C635">SUM(D619*1.25)</f>
        <v>149.8</v>
      </c>
      <c r="D619" s="54">
        <f>112*1.07</f>
        <v>119.84</v>
      </c>
    </row>
    <row r="620" spans="1:4" ht="30.75" customHeight="1">
      <c r="A620" s="36">
        <v>2</v>
      </c>
      <c r="B620" s="21" t="s">
        <v>204</v>
      </c>
      <c r="C620" s="49">
        <f t="shared" si="19"/>
        <v>333.0375</v>
      </c>
      <c r="D620" s="54">
        <f>249*1.07</f>
        <v>266.43</v>
      </c>
    </row>
    <row r="621" spans="1:4" ht="27" customHeight="1">
      <c r="A621" s="36"/>
      <c r="B621" s="37" t="s">
        <v>205</v>
      </c>
      <c r="C621" s="49"/>
      <c r="D621" s="54"/>
    </row>
    <row r="622" spans="1:4" ht="27.75" customHeight="1">
      <c r="A622" s="36">
        <v>1</v>
      </c>
      <c r="B622" s="21" t="s">
        <v>206</v>
      </c>
      <c r="C622" s="49">
        <f t="shared" si="19"/>
        <v>45.475</v>
      </c>
      <c r="D622" s="54">
        <f>34*1.07</f>
        <v>36.38</v>
      </c>
    </row>
    <row r="623" spans="1:4" ht="27.75" customHeight="1">
      <c r="A623" s="36">
        <v>2</v>
      </c>
      <c r="B623" s="21" t="s">
        <v>207</v>
      </c>
      <c r="C623" s="49">
        <f t="shared" si="19"/>
        <v>26.750000000000004</v>
      </c>
      <c r="D623" s="54">
        <f>20*1.07</f>
        <v>21.400000000000002</v>
      </c>
    </row>
    <row r="624" spans="1:4" ht="27.75" customHeight="1">
      <c r="A624" s="36">
        <v>3</v>
      </c>
      <c r="B624" s="21" t="s">
        <v>208</v>
      </c>
      <c r="C624" s="49">
        <f t="shared" si="19"/>
        <v>86.9375</v>
      </c>
      <c r="D624" s="54">
        <f>65*1.07</f>
        <v>69.55</v>
      </c>
    </row>
    <row r="625" spans="1:4" ht="27.75" customHeight="1">
      <c r="A625" s="36">
        <v>4</v>
      </c>
      <c r="B625" s="21" t="s">
        <v>209</v>
      </c>
      <c r="C625" s="49">
        <f t="shared" si="19"/>
        <v>472.13750000000005</v>
      </c>
      <c r="D625" s="54">
        <f>353*1.07</f>
        <v>377.71000000000004</v>
      </c>
    </row>
    <row r="626" spans="1:4" ht="27.75" customHeight="1">
      <c r="A626" s="36">
        <v>5</v>
      </c>
      <c r="B626" s="21" t="s">
        <v>210</v>
      </c>
      <c r="C626" s="49">
        <f t="shared" si="19"/>
        <v>77.575</v>
      </c>
      <c r="D626" s="54">
        <f>58*1.07</f>
        <v>62.06</v>
      </c>
    </row>
    <row r="627" spans="1:4" ht="27.75" customHeight="1">
      <c r="A627" s="36">
        <v>6</v>
      </c>
      <c r="B627" s="21" t="s">
        <v>211</v>
      </c>
      <c r="C627" s="49">
        <f t="shared" si="19"/>
        <v>635.3125000000001</v>
      </c>
      <c r="D627" s="54">
        <f>475*1.07</f>
        <v>508.25000000000006</v>
      </c>
    </row>
    <row r="628" spans="1:4" ht="27.75" customHeight="1">
      <c r="A628" s="36">
        <v>7</v>
      </c>
      <c r="B628" s="21" t="s">
        <v>212</v>
      </c>
      <c r="C628" s="49">
        <f t="shared" si="19"/>
        <v>60.18750000000001</v>
      </c>
      <c r="D628" s="54">
        <f>45*1.07</f>
        <v>48.150000000000006</v>
      </c>
    </row>
    <row r="629" spans="1:4" ht="32.25" customHeight="1">
      <c r="A629" s="36">
        <v>8</v>
      </c>
      <c r="B629" s="21" t="s">
        <v>13</v>
      </c>
      <c r="C629" s="49">
        <f t="shared" si="19"/>
        <v>125.72500000000002</v>
      </c>
      <c r="D629" s="54">
        <f>94*1.07</f>
        <v>100.58000000000001</v>
      </c>
    </row>
    <row r="630" spans="1:4" ht="27.75" customHeight="1">
      <c r="A630" s="36"/>
      <c r="B630" s="37" t="s">
        <v>213</v>
      </c>
      <c r="C630" s="49"/>
      <c r="D630" s="54"/>
    </row>
    <row r="631" spans="1:4" ht="27.75" customHeight="1">
      <c r="A631" s="36">
        <v>1</v>
      </c>
      <c r="B631" s="21" t="s">
        <v>214</v>
      </c>
      <c r="C631" s="49">
        <f t="shared" si="19"/>
        <v>497.55</v>
      </c>
      <c r="D631" s="54">
        <f>372*1.07</f>
        <v>398.04</v>
      </c>
    </row>
    <row r="632" spans="1:4" ht="27" customHeight="1">
      <c r="A632" s="36">
        <v>2</v>
      </c>
      <c r="B632" s="21" t="s">
        <v>215</v>
      </c>
      <c r="C632" s="49">
        <f t="shared" si="19"/>
        <v>759.7</v>
      </c>
      <c r="D632" s="54">
        <f>568*1.07</f>
        <v>607.76</v>
      </c>
    </row>
    <row r="633" spans="1:4" ht="28.5" customHeight="1">
      <c r="A633" s="36">
        <v>3</v>
      </c>
      <c r="B633" s="21" t="s">
        <v>290</v>
      </c>
      <c r="C633" s="49">
        <f t="shared" si="19"/>
        <v>896.1250000000001</v>
      </c>
      <c r="D633" s="54">
        <f>670*1.07</f>
        <v>716.9000000000001</v>
      </c>
    </row>
    <row r="634" spans="1:4" ht="30" customHeight="1">
      <c r="A634" s="36">
        <v>4</v>
      </c>
      <c r="B634" s="21" t="s">
        <v>216</v>
      </c>
      <c r="C634" s="49">
        <f t="shared" si="19"/>
        <v>949.625</v>
      </c>
      <c r="D634" s="54">
        <f>710*1.07</f>
        <v>759.7</v>
      </c>
    </row>
    <row r="635" spans="1:4" ht="27.75">
      <c r="A635" s="36">
        <v>5</v>
      </c>
      <c r="B635" s="21" t="s">
        <v>217</v>
      </c>
      <c r="C635" s="49">
        <f t="shared" si="19"/>
        <v>1074.0125</v>
      </c>
      <c r="D635" s="54">
        <f>803*1.07</f>
        <v>859.21</v>
      </c>
    </row>
    <row r="636" spans="1:4" s="8" customFormat="1" ht="27.75">
      <c r="A636" s="40"/>
      <c r="B636" s="37" t="s">
        <v>218</v>
      </c>
      <c r="C636" s="49"/>
      <c r="D636" s="55"/>
    </row>
    <row r="637" spans="1:4" ht="27.75">
      <c r="A637" s="36">
        <v>1</v>
      </c>
      <c r="B637" s="21" t="s">
        <v>104</v>
      </c>
      <c r="C637" s="49">
        <f>SUM(D637*1.25)</f>
        <v>295.58750000000003</v>
      </c>
      <c r="D637" s="54">
        <f>221*1.07</f>
        <v>236.47000000000003</v>
      </c>
    </row>
    <row r="638" spans="1:4" ht="27.75">
      <c r="A638" s="36">
        <v>2</v>
      </c>
      <c r="B638" s="21" t="s">
        <v>219</v>
      </c>
      <c r="C638" s="49">
        <f>SUM(D638*1.25)</f>
        <v>181.9</v>
      </c>
      <c r="D638" s="54">
        <f>136*1.07</f>
        <v>145.52</v>
      </c>
    </row>
    <row r="639" spans="1:4" ht="27.75">
      <c r="A639" s="36">
        <v>3</v>
      </c>
      <c r="B639" s="21" t="s">
        <v>220</v>
      </c>
      <c r="C639" s="49">
        <f>SUM(D639*1.25)</f>
        <v>520.2875</v>
      </c>
      <c r="D639" s="54">
        <f>389*1.07</f>
        <v>416.23</v>
      </c>
    </row>
    <row r="640" spans="1:4" ht="54" customHeight="1">
      <c r="A640" s="36">
        <v>4</v>
      </c>
      <c r="B640" s="21" t="s">
        <v>221</v>
      </c>
      <c r="C640" s="49">
        <f>SUM(D640*1.25)</f>
        <v>232.72500000000002</v>
      </c>
      <c r="D640" s="54">
        <f>174*1.07</f>
        <v>186.18</v>
      </c>
    </row>
    <row r="641" spans="1:4" ht="54" customHeight="1">
      <c r="A641" s="36">
        <v>5</v>
      </c>
      <c r="B641" s="21" t="s">
        <v>222</v>
      </c>
      <c r="C641" s="49">
        <f>SUM(D641*1.25)</f>
        <v>113.6875</v>
      </c>
      <c r="D641" s="54">
        <f>85*1.07</f>
        <v>90.95</v>
      </c>
    </row>
    <row r="642" spans="1:4" ht="27.75">
      <c r="A642" s="36"/>
      <c r="B642" s="37" t="s">
        <v>223</v>
      </c>
      <c r="C642" s="49"/>
      <c r="D642" s="55"/>
    </row>
    <row r="643" spans="1:4" ht="27.75">
      <c r="A643" s="36">
        <v>1</v>
      </c>
      <c r="B643" s="21" t="s">
        <v>264</v>
      </c>
      <c r="C643" s="49">
        <f aca="true" t="shared" si="20" ref="C643:C663">SUM(D643*1.25)</f>
        <v>310.3</v>
      </c>
      <c r="D643" s="54">
        <f>232*1.07</f>
        <v>248.24</v>
      </c>
    </row>
    <row r="644" spans="1:4" ht="27.75">
      <c r="A644" s="36">
        <v>2</v>
      </c>
      <c r="B644" s="21" t="s">
        <v>265</v>
      </c>
      <c r="C644" s="49">
        <f t="shared" si="20"/>
        <v>557.7375</v>
      </c>
      <c r="D644" s="54">
        <f>417*1.07</f>
        <v>446.19</v>
      </c>
    </row>
    <row r="645" spans="1:4" ht="27.75">
      <c r="A645" s="36">
        <v>3</v>
      </c>
      <c r="B645" s="21" t="s">
        <v>266</v>
      </c>
      <c r="C645" s="49">
        <f t="shared" si="20"/>
        <v>953.6375</v>
      </c>
      <c r="D645" s="54">
        <f>713*1.07</f>
        <v>762.9100000000001</v>
      </c>
    </row>
    <row r="646" spans="1:4" ht="27.75">
      <c r="A646" s="36">
        <v>4</v>
      </c>
      <c r="B646" s="21" t="s">
        <v>718</v>
      </c>
      <c r="C646" s="49">
        <f t="shared" si="20"/>
        <v>953.6375</v>
      </c>
      <c r="D646" s="54">
        <f>713*1.07</f>
        <v>762.9100000000001</v>
      </c>
    </row>
    <row r="647" spans="1:4" ht="27.75">
      <c r="A647" s="36">
        <v>5</v>
      </c>
      <c r="B647" s="21" t="s">
        <v>224</v>
      </c>
      <c r="C647" s="49">
        <f t="shared" si="20"/>
        <v>1183.6875</v>
      </c>
      <c r="D647" s="54">
        <f>885*1.07</f>
        <v>946.95</v>
      </c>
    </row>
    <row r="648" spans="1:4" ht="27.75">
      <c r="A648" s="36">
        <v>6</v>
      </c>
      <c r="B648" s="21" t="s">
        <v>719</v>
      </c>
      <c r="C648" s="49">
        <f t="shared" si="20"/>
        <v>1120.825</v>
      </c>
      <c r="D648" s="54">
        <f>838*1.07</f>
        <v>896.6600000000001</v>
      </c>
    </row>
    <row r="649" spans="1:4" ht="27.75">
      <c r="A649" s="36">
        <v>7</v>
      </c>
      <c r="B649" s="21" t="s">
        <v>225</v>
      </c>
      <c r="C649" s="49">
        <f t="shared" si="20"/>
        <v>642</v>
      </c>
      <c r="D649" s="54">
        <f>480*1.07</f>
        <v>513.6</v>
      </c>
    </row>
    <row r="650" spans="1:4" ht="27.75">
      <c r="A650" s="36">
        <v>8</v>
      </c>
      <c r="B650" s="21" t="s">
        <v>226</v>
      </c>
      <c r="C650" s="49">
        <f t="shared" si="20"/>
        <v>1183.6875</v>
      </c>
      <c r="D650" s="54">
        <f>885*1.07</f>
        <v>946.95</v>
      </c>
    </row>
    <row r="651" spans="1:4" ht="27.75">
      <c r="A651" s="36">
        <v>9</v>
      </c>
      <c r="B651" s="21" t="s">
        <v>227</v>
      </c>
      <c r="C651" s="49">
        <f t="shared" si="20"/>
        <v>1021.85</v>
      </c>
      <c r="D651" s="54">
        <f>764*1.07</f>
        <v>817.48</v>
      </c>
    </row>
    <row r="652" spans="1:4" ht="27.75">
      <c r="A652" s="36">
        <v>10</v>
      </c>
      <c r="B652" s="21" t="s">
        <v>267</v>
      </c>
      <c r="C652" s="49">
        <f t="shared" si="20"/>
        <v>1100.7625</v>
      </c>
      <c r="D652" s="54">
        <f>823*1.07</f>
        <v>880.61</v>
      </c>
    </row>
    <row r="653" spans="1:4" ht="33" customHeight="1">
      <c r="A653" s="36">
        <v>11</v>
      </c>
      <c r="B653" s="21" t="s">
        <v>228</v>
      </c>
      <c r="C653" s="49">
        <f t="shared" si="20"/>
        <v>625.95</v>
      </c>
      <c r="D653" s="54">
        <f>468*1.07</f>
        <v>500.76000000000005</v>
      </c>
    </row>
    <row r="654" spans="1:4" ht="33" customHeight="1">
      <c r="A654" s="36">
        <v>12</v>
      </c>
      <c r="B654" s="21" t="s">
        <v>229</v>
      </c>
      <c r="C654" s="49">
        <f t="shared" si="20"/>
        <v>625.95</v>
      </c>
      <c r="D654" s="54">
        <f>468*1.07</f>
        <v>500.76000000000005</v>
      </c>
    </row>
    <row r="655" spans="1:4" ht="32.25" customHeight="1">
      <c r="A655" s="36">
        <v>13</v>
      </c>
      <c r="B655" s="21" t="s">
        <v>268</v>
      </c>
      <c r="C655" s="49">
        <f t="shared" si="20"/>
        <v>228.7125</v>
      </c>
      <c r="D655" s="54">
        <f>171*1.07</f>
        <v>182.97</v>
      </c>
    </row>
    <row r="656" spans="1:4" ht="27.75">
      <c r="A656" s="36">
        <v>14</v>
      </c>
      <c r="B656" s="27" t="s">
        <v>269</v>
      </c>
      <c r="C656" s="49">
        <f t="shared" si="20"/>
        <v>394.56250000000006</v>
      </c>
      <c r="D656" s="54">
        <f>295*1.07</f>
        <v>315.65000000000003</v>
      </c>
    </row>
    <row r="657" spans="1:4" ht="27.75">
      <c r="A657" s="36"/>
      <c r="B657" s="43" t="s">
        <v>507</v>
      </c>
      <c r="C657" s="49"/>
      <c r="D657" s="54"/>
    </row>
    <row r="658" spans="1:4" ht="29.25" customHeight="1">
      <c r="A658" s="36">
        <v>1</v>
      </c>
      <c r="B658" s="28" t="s">
        <v>11</v>
      </c>
      <c r="C658" s="49">
        <f t="shared" si="20"/>
        <v>440.0375</v>
      </c>
      <c r="D658" s="58">
        <f>329*1.07</f>
        <v>352.03000000000003</v>
      </c>
    </row>
    <row r="659" spans="1:4" ht="27.75">
      <c r="A659" s="36">
        <v>2</v>
      </c>
      <c r="B659" s="28" t="s">
        <v>508</v>
      </c>
      <c r="C659" s="49">
        <f t="shared" si="20"/>
        <v>152.475</v>
      </c>
      <c r="D659" s="58">
        <f>114*1.07</f>
        <v>121.98</v>
      </c>
    </row>
    <row r="660" spans="1:4" ht="27.75">
      <c r="A660" s="36">
        <v>3</v>
      </c>
      <c r="B660" s="28" t="s">
        <v>509</v>
      </c>
      <c r="C660" s="49">
        <f t="shared" si="20"/>
        <v>882.75</v>
      </c>
      <c r="D660" s="58">
        <f>660*1.07</f>
        <v>706.2</v>
      </c>
    </row>
    <row r="661" spans="1:4" ht="27.75">
      <c r="A661" s="36">
        <v>4</v>
      </c>
      <c r="B661" s="28" t="s">
        <v>510</v>
      </c>
      <c r="C661" s="49">
        <f t="shared" si="20"/>
        <v>220.6875</v>
      </c>
      <c r="D661" s="58">
        <f>165*1.07</f>
        <v>176.55</v>
      </c>
    </row>
    <row r="662" spans="1:4" ht="27.75">
      <c r="A662" s="36">
        <v>5</v>
      </c>
      <c r="B662" s="28" t="s">
        <v>511</v>
      </c>
      <c r="C662" s="49">
        <f t="shared" si="20"/>
        <v>1087.3875</v>
      </c>
      <c r="D662" s="58">
        <f>813*1.07</f>
        <v>869.9100000000001</v>
      </c>
    </row>
    <row r="663" spans="1:4" ht="27.75">
      <c r="A663" s="36">
        <v>6</v>
      </c>
      <c r="B663" s="28" t="s">
        <v>512</v>
      </c>
      <c r="C663" s="49">
        <f t="shared" si="20"/>
        <v>770.4000000000001</v>
      </c>
      <c r="D663" s="58">
        <f>576*1.07</f>
        <v>616.32</v>
      </c>
    </row>
    <row r="664" spans="1:4" ht="27.75">
      <c r="A664" s="36">
        <v>7</v>
      </c>
      <c r="B664" s="28" t="s">
        <v>5</v>
      </c>
      <c r="C664" s="49">
        <f aca="true" t="shared" si="21" ref="C664:C685">SUM(D664*1.25)</f>
        <v>294.25</v>
      </c>
      <c r="D664" s="58">
        <f>220*1.07</f>
        <v>235.4</v>
      </c>
    </row>
    <row r="665" spans="1:4" ht="26.25" customHeight="1">
      <c r="A665" s="36">
        <v>8</v>
      </c>
      <c r="B665" s="28" t="s">
        <v>713</v>
      </c>
      <c r="C665" s="49">
        <f t="shared" si="21"/>
        <v>147.125</v>
      </c>
      <c r="D665" s="58">
        <f>110*1.07</f>
        <v>117.7</v>
      </c>
    </row>
    <row r="666" spans="1:4" ht="26.25" customHeight="1">
      <c r="A666" s="36">
        <v>9</v>
      </c>
      <c r="B666" s="28" t="s">
        <v>714</v>
      </c>
      <c r="C666" s="49">
        <f t="shared" si="21"/>
        <v>310.3</v>
      </c>
      <c r="D666" s="58">
        <f>232*1.07</f>
        <v>248.24</v>
      </c>
    </row>
    <row r="667" spans="1:4" ht="24.75" customHeight="1">
      <c r="A667" s="36">
        <v>10</v>
      </c>
      <c r="B667" s="28" t="s">
        <v>513</v>
      </c>
      <c r="C667" s="49">
        <f t="shared" si="21"/>
        <v>82.92500000000001</v>
      </c>
      <c r="D667" s="58">
        <f>62*1.07</f>
        <v>66.34</v>
      </c>
    </row>
    <row r="668" spans="1:4" ht="30" customHeight="1">
      <c r="A668" s="36">
        <v>11</v>
      </c>
      <c r="B668" s="28" t="s">
        <v>12</v>
      </c>
      <c r="C668" s="49">
        <f t="shared" si="21"/>
        <v>270.175</v>
      </c>
      <c r="D668" s="58">
        <f>202*1.07</f>
        <v>216.14000000000001</v>
      </c>
    </row>
    <row r="669" spans="1:4" ht="56.25" customHeight="1">
      <c r="A669" s="40"/>
      <c r="B669" s="44" t="s">
        <v>193</v>
      </c>
      <c r="C669" s="49"/>
      <c r="D669" s="54"/>
    </row>
    <row r="670" spans="1:4" ht="33" customHeight="1">
      <c r="A670" s="36">
        <v>1</v>
      </c>
      <c r="B670" s="21" t="s">
        <v>484</v>
      </c>
      <c r="C670" s="49">
        <f>SUM(D670*1.25)</f>
        <v>89.6125</v>
      </c>
      <c r="D670" s="54">
        <f>67*1.07</f>
        <v>71.69</v>
      </c>
    </row>
    <row r="671" spans="1:4" ht="33" customHeight="1">
      <c r="A671" s="36">
        <v>2</v>
      </c>
      <c r="B671" s="21" t="s">
        <v>104</v>
      </c>
      <c r="C671" s="49">
        <f t="shared" si="21"/>
        <v>177.8875</v>
      </c>
      <c r="D671" s="54">
        <f>133*1.07</f>
        <v>142.31</v>
      </c>
    </row>
    <row r="672" spans="1:4" ht="33" customHeight="1">
      <c r="A672" s="36">
        <v>3</v>
      </c>
      <c r="B672" s="21" t="s">
        <v>194</v>
      </c>
      <c r="C672" s="49">
        <f t="shared" si="21"/>
        <v>89.6125</v>
      </c>
      <c r="D672" s="54">
        <f>67*1.07</f>
        <v>71.69</v>
      </c>
    </row>
    <row r="673" spans="1:4" ht="33" customHeight="1">
      <c r="A673" s="36">
        <v>4</v>
      </c>
      <c r="B673" s="21" t="s">
        <v>195</v>
      </c>
      <c r="C673" s="49">
        <f t="shared" si="21"/>
        <v>164.51250000000002</v>
      </c>
      <c r="D673" s="54">
        <f>123*1.07</f>
        <v>131.61</v>
      </c>
    </row>
    <row r="674" spans="1:4" ht="29.25" customHeight="1">
      <c r="A674" s="36">
        <v>5</v>
      </c>
      <c r="B674" s="21" t="s">
        <v>196</v>
      </c>
      <c r="C674" s="49">
        <f t="shared" si="21"/>
        <v>58.85000000000001</v>
      </c>
      <c r="D674" s="54">
        <f>44*1.07</f>
        <v>47.080000000000005</v>
      </c>
    </row>
    <row r="675" spans="1:4" ht="29.25" customHeight="1">
      <c r="A675" s="36">
        <v>6</v>
      </c>
      <c r="B675" s="21" t="s">
        <v>197</v>
      </c>
      <c r="C675" s="49">
        <f t="shared" si="21"/>
        <v>58.85000000000001</v>
      </c>
      <c r="D675" s="54">
        <f aca="true" t="shared" si="22" ref="D675:D680">44*1.07</f>
        <v>47.080000000000005</v>
      </c>
    </row>
    <row r="676" spans="1:4" ht="27.75">
      <c r="A676" s="36">
        <v>7</v>
      </c>
      <c r="B676" s="21" t="s">
        <v>198</v>
      </c>
      <c r="C676" s="49">
        <f t="shared" si="21"/>
        <v>58.85000000000001</v>
      </c>
      <c r="D676" s="54">
        <f t="shared" si="22"/>
        <v>47.080000000000005</v>
      </c>
    </row>
    <row r="677" spans="1:4" ht="59.25" customHeight="1">
      <c r="A677" s="36">
        <v>8</v>
      </c>
      <c r="B677" s="21" t="s">
        <v>199</v>
      </c>
      <c r="C677" s="49">
        <f t="shared" si="21"/>
        <v>58.85000000000001</v>
      </c>
      <c r="D677" s="54">
        <f t="shared" si="22"/>
        <v>47.080000000000005</v>
      </c>
    </row>
    <row r="678" spans="1:4" ht="27" customHeight="1">
      <c r="A678" s="36">
        <v>9</v>
      </c>
      <c r="B678" s="21" t="s">
        <v>200</v>
      </c>
      <c r="C678" s="49">
        <f t="shared" si="21"/>
        <v>58.85000000000001</v>
      </c>
      <c r="D678" s="54">
        <f t="shared" si="22"/>
        <v>47.080000000000005</v>
      </c>
    </row>
    <row r="679" spans="1:4" ht="25.5" customHeight="1">
      <c r="A679" s="36">
        <v>10</v>
      </c>
      <c r="B679" s="21" t="s">
        <v>201</v>
      </c>
      <c r="C679" s="49">
        <f t="shared" si="21"/>
        <v>58.85000000000001</v>
      </c>
      <c r="D679" s="54">
        <f t="shared" si="22"/>
        <v>47.080000000000005</v>
      </c>
    </row>
    <row r="680" spans="1:4" ht="25.5" customHeight="1">
      <c r="A680" s="36">
        <v>11</v>
      </c>
      <c r="B680" s="21" t="s">
        <v>748</v>
      </c>
      <c r="C680" s="49">
        <v>55</v>
      </c>
      <c r="D680" s="54">
        <f t="shared" si="22"/>
        <v>47.080000000000005</v>
      </c>
    </row>
    <row r="681" spans="1:6" ht="51" customHeight="1">
      <c r="A681" s="36">
        <v>12</v>
      </c>
      <c r="B681" s="11" t="s">
        <v>6</v>
      </c>
      <c r="C681" s="49">
        <f t="shared" si="21"/>
        <v>403.92500000000007</v>
      </c>
      <c r="D681" s="50">
        <f>302*1.07</f>
        <v>323.14000000000004</v>
      </c>
      <c r="E681" s="9"/>
      <c r="F681" s="10"/>
    </row>
    <row r="682" spans="1:6" ht="51" customHeight="1">
      <c r="A682" s="36">
        <v>13</v>
      </c>
      <c r="B682" s="11" t="s">
        <v>7</v>
      </c>
      <c r="C682" s="49">
        <f t="shared" si="21"/>
        <v>470.80000000000007</v>
      </c>
      <c r="D682" s="50">
        <f>352*1.07</f>
        <v>376.64000000000004</v>
      </c>
      <c r="E682" s="9"/>
      <c r="F682" s="10"/>
    </row>
    <row r="683" spans="1:6" ht="51" customHeight="1">
      <c r="A683" s="36">
        <v>14</v>
      </c>
      <c r="B683" s="11" t="s">
        <v>14</v>
      </c>
      <c r="C683" s="49">
        <f t="shared" si="21"/>
        <v>488.1875</v>
      </c>
      <c r="D683" s="50">
        <f>365*1.07</f>
        <v>390.55</v>
      </c>
      <c r="E683" s="9"/>
      <c r="F683" s="10"/>
    </row>
    <row r="684" spans="1:6" ht="51" customHeight="1">
      <c r="A684" s="36">
        <v>15</v>
      </c>
      <c r="B684" s="11" t="s">
        <v>8</v>
      </c>
      <c r="C684" s="49">
        <f t="shared" si="21"/>
        <v>462.77500000000003</v>
      </c>
      <c r="D684" s="50">
        <f>346*1.07</f>
        <v>370.22</v>
      </c>
      <c r="E684" s="9"/>
      <c r="F684" s="10"/>
    </row>
    <row r="685" spans="1:6" ht="51" customHeight="1">
      <c r="A685" s="36">
        <v>16</v>
      </c>
      <c r="B685" s="11" t="s">
        <v>9</v>
      </c>
      <c r="C685" s="49">
        <f t="shared" si="21"/>
        <v>462.77500000000003</v>
      </c>
      <c r="D685" s="50">
        <f>346*1.07</f>
        <v>370.22</v>
      </c>
      <c r="E685" s="9"/>
      <c r="F685" s="10"/>
    </row>
    <row r="686" spans="1:6" ht="51" customHeight="1">
      <c r="A686" s="36">
        <v>17</v>
      </c>
      <c r="B686" s="11" t="s">
        <v>10</v>
      </c>
      <c r="C686" s="49">
        <f>SUM(D686*1.25)</f>
        <v>312.975</v>
      </c>
      <c r="D686" s="50">
        <f>234*1.07</f>
        <v>250.38000000000002</v>
      </c>
      <c r="E686" s="9"/>
      <c r="F686" s="10"/>
    </row>
    <row r="687" spans="1:4" ht="51" customHeight="1">
      <c r="A687" s="36">
        <v>18</v>
      </c>
      <c r="B687" s="11" t="s">
        <v>15</v>
      </c>
      <c r="C687" s="49">
        <f>SUM(D687*1.25)</f>
        <v>1294.7</v>
      </c>
      <c r="D687" s="50">
        <f>968*1.07</f>
        <v>1035.76</v>
      </c>
    </row>
    <row r="688" spans="1:4" ht="27.75">
      <c r="A688" s="89"/>
      <c r="B688" s="45" t="s">
        <v>600</v>
      </c>
      <c r="C688" s="59"/>
      <c r="D688" s="79"/>
    </row>
    <row r="689" spans="1:4" ht="27" customHeight="1">
      <c r="A689" s="90"/>
      <c r="B689" s="46" t="s">
        <v>601</v>
      </c>
      <c r="C689" s="60"/>
      <c r="D689" s="80"/>
    </row>
    <row r="690" spans="1:4" ht="30" customHeight="1">
      <c r="A690" s="16">
        <v>1</v>
      </c>
      <c r="B690" s="12" t="s">
        <v>602</v>
      </c>
      <c r="C690" s="51">
        <f>D690*1.25</f>
        <v>239.4125</v>
      </c>
      <c r="D690" s="61">
        <f>179*1.07</f>
        <v>191.53</v>
      </c>
    </row>
    <row r="691" spans="1:4" ht="30" customHeight="1">
      <c r="A691" s="16">
        <v>2</v>
      </c>
      <c r="B691" s="29" t="s">
        <v>603</v>
      </c>
      <c r="C691" s="51">
        <f>D691*1.25</f>
        <v>234.0625</v>
      </c>
      <c r="D691" s="61">
        <f>175*1.07</f>
        <v>187.25</v>
      </c>
    </row>
    <row r="692" spans="1:4" ht="30" customHeight="1">
      <c r="A692" s="16">
        <v>3</v>
      </c>
      <c r="B692" s="29" t="s">
        <v>604</v>
      </c>
      <c r="C692" s="51">
        <f>D692*1.25</f>
        <v>148.4625</v>
      </c>
      <c r="D692" s="61">
        <f>111*1.07</f>
        <v>118.77000000000001</v>
      </c>
    </row>
    <row r="693" spans="1:4" ht="30" customHeight="1">
      <c r="A693" s="16">
        <v>4</v>
      </c>
      <c r="B693" s="30" t="s">
        <v>605</v>
      </c>
      <c r="C693" s="51">
        <f>D693*1.25</f>
        <v>145.78750000000002</v>
      </c>
      <c r="D693" s="61">
        <f>109*1.07</f>
        <v>116.63000000000001</v>
      </c>
    </row>
    <row r="694" spans="1:4" ht="30" customHeight="1">
      <c r="A694" s="16">
        <v>5</v>
      </c>
      <c r="B694" s="31" t="s">
        <v>606</v>
      </c>
      <c r="C694" s="51">
        <f>D694*1.25</f>
        <v>262.15</v>
      </c>
      <c r="D694" s="50">
        <f>196*1.07</f>
        <v>209.72</v>
      </c>
    </row>
    <row r="695" spans="1:4" ht="30" customHeight="1">
      <c r="A695" s="16">
        <v>6</v>
      </c>
      <c r="B695" s="31" t="s">
        <v>607</v>
      </c>
      <c r="C695" s="51">
        <f aca="true" t="shared" si="23" ref="C695:C758">D695*1.25</f>
        <v>140.4375</v>
      </c>
      <c r="D695" s="50">
        <f>105*1.07</f>
        <v>112.35000000000001</v>
      </c>
    </row>
    <row r="696" spans="1:4" ht="30" customHeight="1">
      <c r="A696" s="16">
        <v>7</v>
      </c>
      <c r="B696" s="29" t="s">
        <v>608</v>
      </c>
      <c r="C696" s="51">
        <f t="shared" si="23"/>
        <v>157.82500000000002</v>
      </c>
      <c r="D696" s="61">
        <f>118*1.07</f>
        <v>126.26</v>
      </c>
    </row>
    <row r="697" spans="1:4" ht="30" customHeight="1">
      <c r="A697" s="16">
        <v>8</v>
      </c>
      <c r="B697" s="29" t="s">
        <v>609</v>
      </c>
      <c r="C697" s="51">
        <f t="shared" si="23"/>
        <v>164.51250000000002</v>
      </c>
      <c r="D697" s="50">
        <f>123*1.07</f>
        <v>131.61</v>
      </c>
    </row>
    <row r="698" spans="1:4" ht="30" customHeight="1">
      <c r="A698" s="16">
        <v>9</v>
      </c>
      <c r="B698" s="29" t="s">
        <v>610</v>
      </c>
      <c r="C698" s="51">
        <f t="shared" si="23"/>
        <v>140.4375</v>
      </c>
      <c r="D698" s="61">
        <f>105*1.07</f>
        <v>112.35000000000001</v>
      </c>
    </row>
    <row r="699" spans="1:4" ht="30" customHeight="1">
      <c r="A699" s="16">
        <v>10</v>
      </c>
      <c r="B699" s="29" t="s">
        <v>611</v>
      </c>
      <c r="C699" s="51">
        <f t="shared" si="23"/>
        <v>171.20000000000002</v>
      </c>
      <c r="D699" s="61">
        <f>128*1.07</f>
        <v>136.96</v>
      </c>
    </row>
    <row r="700" spans="1:4" ht="23.25" customHeight="1">
      <c r="A700" s="16">
        <v>11</v>
      </c>
      <c r="B700" s="30" t="s">
        <v>612</v>
      </c>
      <c r="C700" s="51">
        <f t="shared" si="23"/>
        <v>167.1875</v>
      </c>
      <c r="D700" s="50">
        <f>125*1.07</f>
        <v>133.75</v>
      </c>
    </row>
    <row r="701" spans="1:4" ht="30" customHeight="1">
      <c r="A701" s="16">
        <v>12</v>
      </c>
      <c r="B701" s="29" t="s">
        <v>613</v>
      </c>
      <c r="C701" s="51">
        <f t="shared" si="23"/>
        <v>167.1875</v>
      </c>
      <c r="D701" s="50">
        <f>125*1.07</f>
        <v>133.75</v>
      </c>
    </row>
    <row r="702" spans="1:4" ht="30" customHeight="1">
      <c r="A702" s="16">
        <v>13</v>
      </c>
      <c r="B702" s="29" t="s">
        <v>614</v>
      </c>
      <c r="C702" s="51">
        <f t="shared" si="23"/>
        <v>167.1875</v>
      </c>
      <c r="D702" s="50">
        <f>125*1.07</f>
        <v>133.75</v>
      </c>
    </row>
    <row r="703" spans="1:4" ht="30" customHeight="1">
      <c r="A703" s="16">
        <v>14</v>
      </c>
      <c r="B703" s="29" t="s">
        <v>615</v>
      </c>
      <c r="C703" s="51">
        <f t="shared" si="23"/>
        <v>214.00000000000003</v>
      </c>
      <c r="D703" s="50">
        <f>160*1.07</f>
        <v>171.20000000000002</v>
      </c>
    </row>
    <row r="704" spans="1:4" ht="30" customHeight="1">
      <c r="A704" s="16">
        <v>15</v>
      </c>
      <c r="B704" s="29" t="s">
        <v>616</v>
      </c>
      <c r="C704" s="51">
        <f t="shared" si="23"/>
        <v>192.60000000000002</v>
      </c>
      <c r="D704" s="61">
        <f>144*1.07</f>
        <v>154.08</v>
      </c>
    </row>
    <row r="705" spans="1:4" ht="30" customHeight="1">
      <c r="A705" s="16">
        <v>16</v>
      </c>
      <c r="B705" s="29" t="s">
        <v>617</v>
      </c>
      <c r="C705" s="51">
        <f t="shared" si="23"/>
        <v>322.3375</v>
      </c>
      <c r="D705" s="61">
        <f>241*1.07</f>
        <v>257.87</v>
      </c>
    </row>
    <row r="706" spans="1:4" ht="54.75" customHeight="1">
      <c r="A706" s="16">
        <v>17</v>
      </c>
      <c r="B706" s="29" t="s">
        <v>618</v>
      </c>
      <c r="C706" s="51">
        <f t="shared" si="23"/>
        <v>341.0625</v>
      </c>
      <c r="D706" s="61">
        <f>255*1.07</f>
        <v>272.85</v>
      </c>
    </row>
    <row r="707" spans="1:4" ht="51" customHeight="1">
      <c r="A707" s="16">
        <v>18</v>
      </c>
      <c r="B707" s="31" t="s">
        <v>619</v>
      </c>
      <c r="C707" s="51">
        <f t="shared" si="23"/>
        <v>196.6125</v>
      </c>
      <c r="D707" s="50">
        <f>147*1.07</f>
        <v>157.29000000000002</v>
      </c>
    </row>
    <row r="708" spans="1:4" ht="52.5" customHeight="1">
      <c r="A708" s="16">
        <v>19</v>
      </c>
      <c r="B708" s="29" t="s">
        <v>620</v>
      </c>
      <c r="C708" s="51">
        <f t="shared" si="23"/>
        <v>414.62500000000006</v>
      </c>
      <c r="D708" s="61">
        <f>310*1.07</f>
        <v>331.70000000000005</v>
      </c>
    </row>
    <row r="709" spans="1:4" ht="48.75" customHeight="1">
      <c r="A709" s="16">
        <v>20</v>
      </c>
      <c r="B709" s="29" t="s">
        <v>621</v>
      </c>
      <c r="C709" s="51">
        <f t="shared" si="23"/>
        <v>171.20000000000002</v>
      </c>
      <c r="D709" s="61">
        <f>128*1.07</f>
        <v>136.96</v>
      </c>
    </row>
    <row r="710" spans="1:4" ht="26.25" customHeight="1">
      <c r="A710" s="16">
        <v>21</v>
      </c>
      <c r="B710" s="29" t="s">
        <v>622</v>
      </c>
      <c r="C710" s="51">
        <f t="shared" si="23"/>
        <v>171.20000000000002</v>
      </c>
      <c r="D710" s="61">
        <f>128*1.07</f>
        <v>136.96</v>
      </c>
    </row>
    <row r="711" spans="1:4" ht="30.75" customHeight="1">
      <c r="A711" s="16">
        <v>22</v>
      </c>
      <c r="B711" s="29" t="s">
        <v>623</v>
      </c>
      <c r="C711" s="51">
        <f t="shared" si="23"/>
        <v>234.0625</v>
      </c>
      <c r="D711" s="61">
        <f>175*1.07</f>
        <v>187.25</v>
      </c>
    </row>
    <row r="712" spans="1:4" ht="30.75" customHeight="1">
      <c r="A712" s="16">
        <v>23</v>
      </c>
      <c r="B712" s="31" t="s">
        <v>624</v>
      </c>
      <c r="C712" s="51">
        <f t="shared" si="23"/>
        <v>272.85</v>
      </c>
      <c r="D712" s="50">
        <f>204*1.07</f>
        <v>218.28</v>
      </c>
    </row>
    <row r="713" spans="1:4" ht="52.5" customHeight="1">
      <c r="A713" s="16">
        <v>24</v>
      </c>
      <c r="B713" s="31" t="s">
        <v>625</v>
      </c>
      <c r="C713" s="51">
        <f t="shared" si="23"/>
        <v>379.85</v>
      </c>
      <c r="D713" s="50">
        <f>284*1.07</f>
        <v>303.88</v>
      </c>
    </row>
    <row r="714" spans="1:4" ht="52.5" customHeight="1">
      <c r="A714" s="16">
        <v>25</v>
      </c>
      <c r="B714" s="31" t="s">
        <v>626</v>
      </c>
      <c r="C714" s="51">
        <f t="shared" si="23"/>
        <v>373.1625</v>
      </c>
      <c r="D714" s="50">
        <f>279*1.07</f>
        <v>298.53000000000003</v>
      </c>
    </row>
    <row r="715" spans="1:4" ht="52.5" customHeight="1">
      <c r="A715" s="16">
        <v>26</v>
      </c>
      <c r="B715" s="29" t="s">
        <v>627</v>
      </c>
      <c r="C715" s="51">
        <f>D715*1.25</f>
        <v>379.85</v>
      </c>
      <c r="D715" s="61">
        <f>284*1.07</f>
        <v>303.88</v>
      </c>
    </row>
    <row r="716" spans="1:4" ht="31.5" customHeight="1">
      <c r="A716" s="16">
        <v>27</v>
      </c>
      <c r="B716" s="31" t="s">
        <v>628</v>
      </c>
      <c r="C716" s="51">
        <f t="shared" si="23"/>
        <v>211.325</v>
      </c>
      <c r="D716" s="50">
        <f>158*1.07</f>
        <v>169.06</v>
      </c>
    </row>
    <row r="717" spans="1:4" ht="31.5" customHeight="1">
      <c r="A717" s="16">
        <v>28</v>
      </c>
      <c r="B717" s="31" t="s">
        <v>629</v>
      </c>
      <c r="C717" s="51">
        <f t="shared" si="23"/>
        <v>240.75000000000003</v>
      </c>
      <c r="D717" s="50">
        <f>180*1.07</f>
        <v>192.60000000000002</v>
      </c>
    </row>
    <row r="718" spans="1:4" ht="31.5" customHeight="1">
      <c r="A718" s="16">
        <v>29</v>
      </c>
      <c r="B718" s="31" t="s">
        <v>630</v>
      </c>
      <c r="C718" s="51">
        <f t="shared" si="23"/>
        <v>242.08750000000003</v>
      </c>
      <c r="D718" s="50">
        <f>181*1.07</f>
        <v>193.67000000000002</v>
      </c>
    </row>
    <row r="719" spans="1:4" ht="56.25" customHeight="1">
      <c r="A719" s="16">
        <v>30</v>
      </c>
      <c r="B719" s="31" t="s">
        <v>631</v>
      </c>
      <c r="C719" s="51">
        <f t="shared" si="23"/>
        <v>234.0625</v>
      </c>
      <c r="D719" s="50">
        <f>175*1.07</f>
        <v>187.25</v>
      </c>
    </row>
    <row r="720" spans="1:4" ht="26.25" customHeight="1">
      <c r="A720" s="16">
        <v>31</v>
      </c>
      <c r="B720" s="31" t="s">
        <v>632</v>
      </c>
      <c r="C720" s="51">
        <f t="shared" si="23"/>
        <v>200.625</v>
      </c>
      <c r="D720" s="50">
        <f>150*1.07</f>
        <v>160.5</v>
      </c>
    </row>
    <row r="721" spans="1:4" ht="26.25" customHeight="1">
      <c r="A721" s="16">
        <v>32</v>
      </c>
      <c r="B721" s="31" t="s">
        <v>633</v>
      </c>
      <c r="C721" s="51">
        <f t="shared" si="23"/>
        <v>244.7625</v>
      </c>
      <c r="D721" s="50">
        <f>183*1.07</f>
        <v>195.81</v>
      </c>
    </row>
    <row r="722" spans="1:4" ht="26.25" customHeight="1">
      <c r="A722" s="16">
        <v>33</v>
      </c>
      <c r="B722" s="31" t="s">
        <v>634</v>
      </c>
      <c r="C722" s="51">
        <f t="shared" si="23"/>
        <v>214.00000000000003</v>
      </c>
      <c r="D722" s="50">
        <f>160*1.07</f>
        <v>171.20000000000002</v>
      </c>
    </row>
    <row r="723" spans="1:4" ht="52.5" customHeight="1">
      <c r="A723" s="16">
        <v>34</v>
      </c>
      <c r="B723" s="31" t="s">
        <v>635</v>
      </c>
      <c r="C723" s="51">
        <f t="shared" si="23"/>
        <v>149.8</v>
      </c>
      <c r="D723" s="50">
        <f>112*1.07</f>
        <v>119.84</v>
      </c>
    </row>
    <row r="724" spans="1:4" ht="51.75" customHeight="1">
      <c r="A724" s="16">
        <v>35</v>
      </c>
      <c r="B724" s="29" t="s">
        <v>636</v>
      </c>
      <c r="C724" s="51">
        <f t="shared" si="23"/>
        <v>196.6125</v>
      </c>
      <c r="D724" s="61">
        <f>147*1.07</f>
        <v>157.29000000000002</v>
      </c>
    </row>
    <row r="725" spans="1:4" ht="51.75" customHeight="1">
      <c r="A725" s="16">
        <v>36</v>
      </c>
      <c r="B725" s="31" t="s">
        <v>637</v>
      </c>
      <c r="C725" s="51">
        <f t="shared" si="23"/>
        <v>167.1875</v>
      </c>
      <c r="D725" s="50">
        <f>125*1.07</f>
        <v>133.75</v>
      </c>
    </row>
    <row r="726" spans="1:4" ht="51.75" customHeight="1">
      <c r="A726" s="16">
        <v>37</v>
      </c>
      <c r="B726" s="31" t="s">
        <v>638</v>
      </c>
      <c r="C726" s="51">
        <f t="shared" si="23"/>
        <v>385.20000000000005</v>
      </c>
      <c r="D726" s="50">
        <f>288*1.07</f>
        <v>308.16</v>
      </c>
    </row>
    <row r="727" spans="1:4" ht="52.5" customHeight="1">
      <c r="A727" s="16">
        <v>38</v>
      </c>
      <c r="B727" s="29" t="s">
        <v>639</v>
      </c>
      <c r="C727" s="51">
        <f t="shared" si="23"/>
        <v>187.25</v>
      </c>
      <c r="D727" s="61">
        <f>140*1.07</f>
        <v>149.8</v>
      </c>
    </row>
    <row r="728" spans="1:4" ht="52.5" customHeight="1">
      <c r="A728" s="16">
        <v>39</v>
      </c>
      <c r="B728" s="29" t="s">
        <v>639</v>
      </c>
      <c r="C728" s="51">
        <f t="shared" si="23"/>
        <v>207.31250000000003</v>
      </c>
      <c r="D728" s="50">
        <f>155*1.07</f>
        <v>165.85000000000002</v>
      </c>
    </row>
    <row r="729" spans="1:4" ht="30" customHeight="1">
      <c r="A729" s="16">
        <v>40</v>
      </c>
      <c r="B729" s="31" t="s">
        <v>640</v>
      </c>
      <c r="C729" s="51">
        <f t="shared" si="23"/>
        <v>181.9</v>
      </c>
      <c r="D729" s="50">
        <f>136*1.07</f>
        <v>145.52</v>
      </c>
    </row>
    <row r="730" spans="1:4" ht="54" customHeight="1">
      <c r="A730" s="16">
        <v>41</v>
      </c>
      <c r="B730" s="31" t="s">
        <v>641</v>
      </c>
      <c r="C730" s="51">
        <f t="shared" si="23"/>
        <v>159.16250000000002</v>
      </c>
      <c r="D730" s="50">
        <f>119*1.07</f>
        <v>127.33000000000001</v>
      </c>
    </row>
    <row r="731" spans="1:4" ht="54" customHeight="1">
      <c r="A731" s="16">
        <v>42</v>
      </c>
      <c r="B731" s="29" t="s">
        <v>642</v>
      </c>
      <c r="C731" s="51">
        <f t="shared" si="23"/>
        <v>165.85000000000002</v>
      </c>
      <c r="D731" s="61">
        <f>124*1.07</f>
        <v>132.68</v>
      </c>
    </row>
    <row r="732" spans="1:4" ht="54" customHeight="1">
      <c r="A732" s="16">
        <v>43</v>
      </c>
      <c r="B732" s="29" t="s">
        <v>643</v>
      </c>
      <c r="C732" s="51">
        <f t="shared" si="23"/>
        <v>191.26250000000002</v>
      </c>
      <c r="D732" s="93">
        <f>143*1.07</f>
        <v>153.01000000000002</v>
      </c>
    </row>
    <row r="733" spans="1:4" ht="55.5" customHeight="1">
      <c r="A733" s="16">
        <v>44</v>
      </c>
      <c r="B733" s="31" t="s">
        <v>644</v>
      </c>
      <c r="C733" s="51">
        <f t="shared" si="23"/>
        <v>230.05</v>
      </c>
      <c r="D733" s="50">
        <f>172*1.07</f>
        <v>184.04000000000002</v>
      </c>
    </row>
    <row r="734" spans="1:4" ht="55.5" customHeight="1">
      <c r="A734" s="16">
        <v>45</v>
      </c>
      <c r="B734" s="29" t="s">
        <v>645</v>
      </c>
      <c r="C734" s="51">
        <f t="shared" si="23"/>
        <v>200.625</v>
      </c>
      <c r="D734" s="61">
        <f>150*1.07</f>
        <v>160.5</v>
      </c>
    </row>
    <row r="735" spans="1:4" ht="36.75" customHeight="1">
      <c r="A735" s="16">
        <v>46</v>
      </c>
      <c r="B735" s="29" t="s">
        <v>646</v>
      </c>
      <c r="C735" s="51">
        <f t="shared" si="23"/>
        <v>349.08750000000003</v>
      </c>
      <c r="D735" s="61">
        <f>261*1.07</f>
        <v>279.27000000000004</v>
      </c>
    </row>
    <row r="736" spans="1:4" ht="61.5" customHeight="1">
      <c r="A736" s="16">
        <v>47</v>
      </c>
      <c r="B736" s="29" t="s">
        <v>647</v>
      </c>
      <c r="C736" s="51">
        <f t="shared" si="23"/>
        <v>1186.3625</v>
      </c>
      <c r="D736" s="61">
        <f>887*1.07</f>
        <v>949.09</v>
      </c>
    </row>
    <row r="737" spans="1:4" ht="28.5" customHeight="1">
      <c r="A737" s="16">
        <v>48</v>
      </c>
      <c r="B737" s="31" t="s">
        <v>648</v>
      </c>
      <c r="C737" s="51">
        <f t="shared" si="23"/>
        <v>596.5250000000001</v>
      </c>
      <c r="D737" s="50">
        <f>446*1.07</f>
        <v>477.22</v>
      </c>
    </row>
    <row r="738" spans="1:4" ht="28.5" customHeight="1">
      <c r="A738" s="47">
        <v>49</v>
      </c>
      <c r="B738" s="29" t="s">
        <v>649</v>
      </c>
      <c r="C738" s="51">
        <f t="shared" si="23"/>
        <v>207.31250000000003</v>
      </c>
      <c r="D738" s="50">
        <f>155*1.07</f>
        <v>165.85000000000002</v>
      </c>
    </row>
    <row r="739" spans="1:4" ht="28.5" customHeight="1">
      <c r="A739" s="16">
        <v>50</v>
      </c>
      <c r="B739" s="29" t="s">
        <v>650</v>
      </c>
      <c r="C739" s="51">
        <f t="shared" si="23"/>
        <v>240.75000000000003</v>
      </c>
      <c r="D739" s="50">
        <f>180*1.07</f>
        <v>192.60000000000002</v>
      </c>
    </row>
    <row r="740" spans="1:4" ht="27.75">
      <c r="A740" s="16">
        <v>51</v>
      </c>
      <c r="B740" s="31" t="s">
        <v>651</v>
      </c>
      <c r="C740" s="51">
        <f t="shared" si="23"/>
        <v>263.4875</v>
      </c>
      <c r="D740" s="50">
        <f>197*1.07</f>
        <v>210.79000000000002</v>
      </c>
    </row>
    <row r="741" spans="1:4" ht="27.75">
      <c r="A741" s="47">
        <v>52</v>
      </c>
      <c r="B741" s="29" t="s">
        <v>652</v>
      </c>
      <c r="C741" s="51">
        <f t="shared" si="23"/>
        <v>197.95000000000002</v>
      </c>
      <c r="D741" s="50">
        <f>148*1.07</f>
        <v>158.36</v>
      </c>
    </row>
    <row r="742" spans="1:4" ht="27.75">
      <c r="A742" s="16">
        <v>53</v>
      </c>
      <c r="B742" s="29" t="s">
        <v>653</v>
      </c>
      <c r="C742" s="51">
        <f t="shared" si="23"/>
        <v>192.60000000000002</v>
      </c>
      <c r="D742" s="50">
        <f>144*1.07</f>
        <v>154.08</v>
      </c>
    </row>
    <row r="743" spans="1:4" ht="27.75">
      <c r="A743" s="16">
        <v>54</v>
      </c>
      <c r="B743" s="29" t="s">
        <v>654</v>
      </c>
      <c r="C743" s="51">
        <f t="shared" si="23"/>
        <v>230.05</v>
      </c>
      <c r="D743" s="50">
        <f>172*1.07</f>
        <v>184.04000000000002</v>
      </c>
    </row>
    <row r="744" spans="1:4" ht="30" customHeight="1">
      <c r="A744" s="47">
        <v>55</v>
      </c>
      <c r="B744" s="29" t="s">
        <v>655</v>
      </c>
      <c r="C744" s="51">
        <f t="shared" si="23"/>
        <v>214.00000000000003</v>
      </c>
      <c r="D744" s="50">
        <f>160*1.07</f>
        <v>171.20000000000002</v>
      </c>
    </row>
    <row r="745" spans="1:4" ht="27.75" customHeight="1">
      <c r="A745" s="16">
        <v>56</v>
      </c>
      <c r="B745" s="29" t="s">
        <v>656</v>
      </c>
      <c r="C745" s="51">
        <f t="shared" si="23"/>
        <v>169.8625</v>
      </c>
      <c r="D745" s="50">
        <f>127*1.07</f>
        <v>135.89000000000001</v>
      </c>
    </row>
    <row r="746" spans="1:4" ht="27.75">
      <c r="A746" s="16">
        <v>57</v>
      </c>
      <c r="B746" s="29" t="s">
        <v>657</v>
      </c>
      <c r="C746" s="51">
        <f t="shared" si="23"/>
        <v>197.95000000000002</v>
      </c>
      <c r="D746" s="50">
        <f>148*1.07</f>
        <v>158.36</v>
      </c>
    </row>
    <row r="747" spans="1:4" ht="12.75" customHeight="1">
      <c r="A747" s="81">
        <v>58</v>
      </c>
      <c r="B747" s="83" t="s">
        <v>658</v>
      </c>
      <c r="C747" s="91">
        <f>D747*1.25</f>
        <v>220.6875</v>
      </c>
      <c r="D747" s="79">
        <f>165*1.07</f>
        <v>176.55</v>
      </c>
    </row>
    <row r="748" spans="1:4" ht="17.25" customHeight="1">
      <c r="A748" s="82"/>
      <c r="B748" s="84"/>
      <c r="C748" s="92"/>
      <c r="D748" s="80"/>
    </row>
    <row r="749" spans="1:4" ht="30" customHeight="1">
      <c r="A749" s="16">
        <v>59</v>
      </c>
      <c r="B749" s="29" t="s">
        <v>659</v>
      </c>
      <c r="C749" s="51">
        <f>D749*1.25</f>
        <v>193.9375</v>
      </c>
      <c r="D749" s="50">
        <f>145*1.07</f>
        <v>155.15</v>
      </c>
    </row>
    <row r="750" spans="1:4" ht="30" customHeight="1">
      <c r="A750" s="16">
        <v>60</v>
      </c>
      <c r="B750" s="29" t="s">
        <v>660</v>
      </c>
      <c r="C750" s="51">
        <f t="shared" si="23"/>
        <v>167.1875</v>
      </c>
      <c r="D750" s="50">
        <f>125*1.07</f>
        <v>133.75</v>
      </c>
    </row>
    <row r="751" spans="1:4" ht="30" customHeight="1">
      <c r="A751" s="16">
        <v>61</v>
      </c>
      <c r="B751" s="29" t="s">
        <v>661</v>
      </c>
      <c r="C751" s="51">
        <f t="shared" si="23"/>
        <v>195.275</v>
      </c>
      <c r="D751" s="50">
        <f>146*1.07</f>
        <v>156.22</v>
      </c>
    </row>
    <row r="752" spans="1:4" ht="30" customHeight="1">
      <c r="A752" s="16">
        <v>62</v>
      </c>
      <c r="B752" s="29" t="s">
        <v>662</v>
      </c>
      <c r="C752" s="51">
        <f t="shared" si="23"/>
        <v>196.6125</v>
      </c>
      <c r="D752" s="50">
        <f>147*1.07</f>
        <v>157.29000000000002</v>
      </c>
    </row>
    <row r="753" spans="1:4" ht="30" customHeight="1">
      <c r="A753" s="16">
        <v>63</v>
      </c>
      <c r="B753" s="29" t="s">
        <v>663</v>
      </c>
      <c r="C753" s="51">
        <f t="shared" si="23"/>
        <v>181.9</v>
      </c>
      <c r="D753" s="50">
        <f>136*1.07</f>
        <v>145.52</v>
      </c>
    </row>
    <row r="754" spans="1:4" ht="30" customHeight="1">
      <c r="A754" s="16">
        <v>64</v>
      </c>
      <c r="B754" s="29" t="s">
        <v>664</v>
      </c>
      <c r="C754" s="51">
        <f t="shared" si="23"/>
        <v>223.3625</v>
      </c>
      <c r="D754" s="50">
        <f>167*1.07</f>
        <v>178.69</v>
      </c>
    </row>
    <row r="755" spans="1:4" ht="30" customHeight="1">
      <c r="A755" s="16">
        <v>65</v>
      </c>
      <c r="B755" s="31" t="s">
        <v>665</v>
      </c>
      <c r="C755" s="51">
        <f t="shared" si="23"/>
        <v>197.95000000000002</v>
      </c>
      <c r="D755" s="50">
        <f>148*1.07</f>
        <v>158.36</v>
      </c>
    </row>
    <row r="756" spans="1:4" ht="30" customHeight="1">
      <c r="A756" s="16">
        <v>66</v>
      </c>
      <c r="B756" s="29" t="s">
        <v>666</v>
      </c>
      <c r="C756" s="51">
        <f t="shared" si="23"/>
        <v>171.20000000000002</v>
      </c>
      <c r="D756" s="50">
        <f>128*1.07</f>
        <v>136.96</v>
      </c>
    </row>
    <row r="757" spans="1:4" ht="30" customHeight="1">
      <c r="A757" s="16">
        <v>67</v>
      </c>
      <c r="B757" s="29" t="s">
        <v>667</v>
      </c>
      <c r="C757" s="51">
        <f t="shared" si="23"/>
        <v>266.1625</v>
      </c>
      <c r="D757" s="61">
        <f>199*1.07</f>
        <v>212.93</v>
      </c>
    </row>
    <row r="758" spans="1:4" ht="30" customHeight="1">
      <c r="A758" s="16">
        <v>68</v>
      </c>
      <c r="B758" s="29" t="s">
        <v>668</v>
      </c>
      <c r="C758" s="51">
        <f t="shared" si="23"/>
        <v>181.9</v>
      </c>
      <c r="D758" s="50">
        <f>136*1.07</f>
        <v>145.52</v>
      </c>
    </row>
    <row r="759" spans="1:4" ht="30.75" customHeight="1">
      <c r="A759" s="16">
        <v>69</v>
      </c>
      <c r="B759" s="31" t="s">
        <v>669</v>
      </c>
      <c r="C759" s="51">
        <f aca="true" t="shared" si="24" ref="C759:C778">D759*1.25</f>
        <v>334.375</v>
      </c>
      <c r="D759" s="50">
        <f>250*1.07</f>
        <v>267.5</v>
      </c>
    </row>
    <row r="760" spans="1:4" ht="30" customHeight="1">
      <c r="A760" s="16">
        <v>70</v>
      </c>
      <c r="B760" s="31" t="s">
        <v>670</v>
      </c>
      <c r="C760" s="51">
        <f t="shared" si="24"/>
        <v>307.625</v>
      </c>
      <c r="D760" s="50">
        <f>230*1.07</f>
        <v>246.10000000000002</v>
      </c>
    </row>
    <row r="761" spans="1:4" ht="54" customHeight="1">
      <c r="A761" s="16">
        <v>71</v>
      </c>
      <c r="B761" s="31" t="s">
        <v>671</v>
      </c>
      <c r="C761" s="51">
        <f t="shared" si="24"/>
        <v>893.45</v>
      </c>
      <c r="D761" s="50">
        <f>668*1.07</f>
        <v>714.76</v>
      </c>
    </row>
    <row r="762" spans="1:4" ht="54" customHeight="1">
      <c r="A762" s="16">
        <v>72</v>
      </c>
      <c r="B762" s="31" t="s">
        <v>672</v>
      </c>
      <c r="C762" s="51">
        <f t="shared" si="24"/>
        <v>214.00000000000003</v>
      </c>
      <c r="D762" s="50">
        <f>160*1.07</f>
        <v>171.20000000000002</v>
      </c>
    </row>
    <row r="763" spans="1:4" ht="52.5" customHeight="1">
      <c r="A763" s="16">
        <v>73</v>
      </c>
      <c r="B763" s="31" t="s">
        <v>673</v>
      </c>
      <c r="C763" s="51">
        <f t="shared" si="24"/>
        <v>148.4625</v>
      </c>
      <c r="D763" s="50">
        <f>111*1.07</f>
        <v>118.77000000000001</v>
      </c>
    </row>
    <row r="764" spans="1:4" ht="52.5" customHeight="1">
      <c r="A764" s="16">
        <v>74</v>
      </c>
      <c r="B764" s="31" t="s">
        <v>674</v>
      </c>
      <c r="C764" s="51">
        <f t="shared" si="24"/>
        <v>161.8375</v>
      </c>
      <c r="D764" s="50">
        <f>121*1.07</f>
        <v>129.47</v>
      </c>
    </row>
    <row r="765" spans="1:4" ht="30.75" customHeight="1">
      <c r="A765" s="16">
        <v>75</v>
      </c>
      <c r="B765" s="31" t="s">
        <v>675</v>
      </c>
      <c r="C765" s="51">
        <f t="shared" si="24"/>
        <v>560.4125</v>
      </c>
      <c r="D765" s="50">
        <f>419*1.07</f>
        <v>448.33000000000004</v>
      </c>
    </row>
    <row r="766" spans="1:4" ht="30.75" customHeight="1">
      <c r="A766" s="16">
        <v>76</v>
      </c>
      <c r="B766" s="31" t="s">
        <v>676</v>
      </c>
      <c r="C766" s="51">
        <f t="shared" si="24"/>
        <v>197.95000000000002</v>
      </c>
      <c r="D766" s="50">
        <f>148*1.07</f>
        <v>158.36</v>
      </c>
    </row>
    <row r="767" spans="1:4" ht="30.75" customHeight="1">
      <c r="A767" s="16">
        <v>77</v>
      </c>
      <c r="B767" s="31" t="s">
        <v>677</v>
      </c>
      <c r="C767" s="51">
        <f t="shared" si="24"/>
        <v>585.825</v>
      </c>
      <c r="D767" s="50">
        <f>438*1.07</f>
        <v>468.66</v>
      </c>
    </row>
    <row r="768" spans="1:4" ht="30.75" customHeight="1">
      <c r="A768" s="16">
        <v>78</v>
      </c>
      <c r="B768" s="32" t="s">
        <v>678</v>
      </c>
      <c r="C768" s="62">
        <f t="shared" si="24"/>
        <v>595.1875</v>
      </c>
      <c r="D768" s="63">
        <f>445*1.07</f>
        <v>476.15000000000003</v>
      </c>
    </row>
    <row r="769" spans="1:4" ht="53.25" customHeight="1">
      <c r="A769" s="16">
        <v>79</v>
      </c>
      <c r="B769" s="30" t="s">
        <v>679</v>
      </c>
      <c r="C769" s="51">
        <f t="shared" si="24"/>
        <v>240.75000000000003</v>
      </c>
      <c r="D769" s="61">
        <f>180*1.07</f>
        <v>192.60000000000002</v>
      </c>
    </row>
    <row r="770" spans="1:4" ht="55.5" customHeight="1">
      <c r="A770" s="16">
        <v>80</v>
      </c>
      <c r="B770" s="30" t="s">
        <v>680</v>
      </c>
      <c r="C770" s="51">
        <f t="shared" si="24"/>
        <v>322.3375</v>
      </c>
      <c r="D770" s="61">
        <f>241*1.07</f>
        <v>257.87</v>
      </c>
    </row>
    <row r="771" spans="1:4" ht="34.5" customHeight="1">
      <c r="A771" s="16">
        <v>81</v>
      </c>
      <c r="B771" s="30" t="s">
        <v>681</v>
      </c>
      <c r="C771" s="51">
        <f t="shared" si="24"/>
        <v>322.3375</v>
      </c>
      <c r="D771" s="61">
        <f>241*1.07</f>
        <v>257.87</v>
      </c>
    </row>
    <row r="772" spans="1:4" ht="34.5" customHeight="1">
      <c r="A772" s="16">
        <v>82</v>
      </c>
      <c r="B772" s="31" t="s">
        <v>682</v>
      </c>
      <c r="C772" s="51">
        <f t="shared" si="24"/>
        <v>234.0625</v>
      </c>
      <c r="D772" s="50">
        <f>175*1.07</f>
        <v>187.25</v>
      </c>
    </row>
    <row r="773" spans="1:4" ht="52.5" customHeight="1">
      <c r="A773" s="16">
        <v>83</v>
      </c>
      <c r="B773" s="31" t="s">
        <v>683</v>
      </c>
      <c r="C773" s="51">
        <f t="shared" si="24"/>
        <v>302.27500000000003</v>
      </c>
      <c r="D773" s="50">
        <f>226*1.07</f>
        <v>241.82000000000002</v>
      </c>
    </row>
    <row r="774" spans="1:4" ht="52.5" customHeight="1">
      <c r="A774" s="16">
        <v>84</v>
      </c>
      <c r="B774" s="33" t="s">
        <v>684</v>
      </c>
      <c r="C774" s="51">
        <f t="shared" si="24"/>
        <v>541.6875</v>
      </c>
      <c r="D774" s="61">
        <f>405*1.07</f>
        <v>433.35</v>
      </c>
    </row>
    <row r="775" spans="1:4" ht="52.5" customHeight="1">
      <c r="A775" s="16">
        <v>85</v>
      </c>
      <c r="B775" s="31" t="s">
        <v>685</v>
      </c>
      <c r="C775" s="51">
        <f t="shared" si="24"/>
        <v>358.45</v>
      </c>
      <c r="D775" s="50">
        <f>268*1.07</f>
        <v>286.76</v>
      </c>
    </row>
    <row r="776" spans="1:4" ht="30" customHeight="1">
      <c r="A776" s="16">
        <v>86</v>
      </c>
      <c r="B776" s="31" t="s">
        <v>686</v>
      </c>
      <c r="C776" s="51">
        <f t="shared" si="24"/>
        <v>244.7625</v>
      </c>
      <c r="D776" s="50">
        <f>183*1.07</f>
        <v>195.81</v>
      </c>
    </row>
    <row r="777" spans="1:4" ht="28.5" customHeight="1">
      <c r="A777" s="16">
        <v>87</v>
      </c>
      <c r="B777" s="30" t="s">
        <v>687</v>
      </c>
      <c r="C777" s="51">
        <f t="shared" si="24"/>
        <v>247.43750000000003</v>
      </c>
      <c r="D777" s="50">
        <f>185*1.07</f>
        <v>197.95000000000002</v>
      </c>
    </row>
    <row r="778" spans="1:4" ht="27.75">
      <c r="A778" s="16">
        <v>88</v>
      </c>
      <c r="B778" s="29" t="s">
        <v>688</v>
      </c>
      <c r="C778" s="51">
        <f t="shared" si="24"/>
        <v>195.275</v>
      </c>
      <c r="D778" s="50">
        <f>146*1.07</f>
        <v>156.22</v>
      </c>
    </row>
    <row r="779" spans="1:4" ht="27.75">
      <c r="A779" s="16">
        <v>89</v>
      </c>
      <c r="B779" s="22" t="s">
        <v>699</v>
      </c>
      <c r="C779" s="64">
        <f>D779*1.25</f>
        <v>195.275</v>
      </c>
      <c r="D779" s="50">
        <f>146*1.07</f>
        <v>156.22</v>
      </c>
    </row>
    <row r="780" spans="1:4" ht="57" customHeight="1">
      <c r="A780" s="16">
        <v>90</v>
      </c>
      <c r="B780" s="34" t="s">
        <v>745</v>
      </c>
      <c r="C780" s="64">
        <f>D780/1.12</f>
        <v>187.24999999999997</v>
      </c>
      <c r="D780" s="50">
        <f>196*1.07</f>
        <v>209.72</v>
      </c>
    </row>
  </sheetData>
  <sheetProtection/>
  <mergeCells count="10">
    <mergeCell ref="D747:D748"/>
    <mergeCell ref="A747:A748"/>
    <mergeCell ref="B747:B748"/>
    <mergeCell ref="B4:D4"/>
    <mergeCell ref="C1:D1"/>
    <mergeCell ref="C2:D2"/>
    <mergeCell ref="C3:D3"/>
    <mergeCell ref="A688:A689"/>
    <mergeCell ref="D688:D689"/>
    <mergeCell ref="C747:C748"/>
  </mergeCells>
  <printOptions/>
  <pageMargins left="1.1811023622047245" right="0.3937007874015748" top="0.31496062992125984" bottom="0.2362204724409449" header="0.31496062992125984" footer="0.31496062992125984"/>
  <pageSetup fitToHeight="13" fitToWidth="1" horizontalDpi="600" verticalDpi="600" orientation="portrait" paperSize="9" scale="42" r:id="rId1"/>
  <rowBreaks count="1" manualBreakCount="1">
    <brk id="5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unattend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Спец по маркетингу</cp:lastModifiedBy>
  <cp:lastPrinted>2018-06-07T01:58:46Z</cp:lastPrinted>
  <dcterms:created xsi:type="dcterms:W3CDTF">2009-08-12T04:33:22Z</dcterms:created>
  <dcterms:modified xsi:type="dcterms:W3CDTF">2018-06-07T02:24:29Z</dcterms:modified>
  <cp:category/>
  <cp:version/>
  <cp:contentType/>
  <cp:contentStatus/>
</cp:coreProperties>
</file>